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c5zbXYZ/KfaGDmi8QSlr9vlQxXK63vWb4UOGph0zt5fWsnml4bD2ZLeBqS9sdsH3lrOoli+xmx/HcF/90+t32g==" saltValue="PApUjWa4ZqQVCYC75UjVxA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Filed Documents 5-26-20\"/>
    </mc:Choice>
  </mc:AlternateContent>
  <bookViews>
    <workbookView xWindow="0" yWindow="0" windowWidth="24000" windowHeight="9000" tabRatio="887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xyz - blank" sheetId="13" r:id="rId32"/>
  </sheets>
  <externalReferences>
    <externalReference r:id="rId33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1">'P.xyz - blank'!$A$1:$P$165</definedName>
    <definedName name="_xlnm.Print_Area" localSheetId="0">PSO.Sch.11.Rates!$A$1:$V$49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1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W44" i="17" l="1"/>
  <c r="W43" i="17"/>
  <c r="N5" i="13"/>
  <c r="N47" i="17"/>
  <c r="E47" i="17"/>
  <c r="D100" i="38" l="1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D111" i="9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D28" i="4"/>
  <c r="E28" i="4"/>
  <c r="O27" i="3"/>
  <c r="F28" i="4" l="1"/>
  <c r="G28" i="4" l="1"/>
  <c r="H28" i="4"/>
  <c r="N99" i="43" l="1"/>
  <c r="O99" i="43" s="1"/>
  <c r="P99" i="43" s="1"/>
  <c r="M99" i="43"/>
  <c r="L99" i="43"/>
  <c r="N99" i="42"/>
  <c r="O99" i="42" s="1"/>
  <c r="P99" i="42" s="1"/>
  <c r="M99" i="42"/>
  <c r="L99" i="42"/>
  <c r="N99" i="41"/>
  <c r="O99" i="41" s="1"/>
  <c r="P99" i="41" s="1"/>
  <c r="M99" i="41"/>
  <c r="L99" i="41"/>
  <c r="N99" i="40"/>
  <c r="O99" i="40" s="1"/>
  <c r="P99" i="40" s="1"/>
  <c r="M99" i="40"/>
  <c r="L99" i="40"/>
  <c r="N100" i="39"/>
  <c r="O100" i="39" s="1"/>
  <c r="P100" i="39" s="1"/>
  <c r="M100" i="39"/>
  <c r="L100" i="39"/>
  <c r="N100" i="37"/>
  <c r="O100" i="37" s="1"/>
  <c r="P100" i="37" s="1"/>
  <c r="M100" i="37"/>
  <c r="L100" i="37"/>
  <c r="N103" i="31"/>
  <c r="O103" i="31" s="1"/>
  <c r="P103" i="31" s="1"/>
  <c r="M103" i="31"/>
  <c r="L103" i="31"/>
  <c r="O102" i="30"/>
  <c r="N102" i="30"/>
  <c r="L102" i="30"/>
  <c r="M102" i="30" s="1"/>
  <c r="N103" i="29"/>
  <c r="O103" i="29" s="1"/>
  <c r="P103" i="29" s="1"/>
  <c r="M103" i="29"/>
  <c r="L103" i="29"/>
  <c r="N103" i="28"/>
  <c r="O103" i="28" s="1"/>
  <c r="P103" i="28" s="1"/>
  <c r="M103" i="28"/>
  <c r="L103" i="28"/>
  <c r="N104" i="27"/>
  <c r="O104" i="27" s="1"/>
  <c r="P104" i="27" s="1"/>
  <c r="M104" i="27"/>
  <c r="L104" i="27"/>
  <c r="N107" i="25"/>
  <c r="O107" i="25" s="1"/>
  <c r="P107" i="25" s="1"/>
  <c r="M107" i="25"/>
  <c r="L107" i="25"/>
  <c r="N105" i="24"/>
  <c r="O105" i="24" s="1"/>
  <c r="P105" i="24" s="1"/>
  <c r="M105" i="24"/>
  <c r="L105" i="24"/>
  <c r="N106" i="23"/>
  <c r="O106" i="23" s="1"/>
  <c r="P106" i="23" s="1"/>
  <c r="M106" i="23"/>
  <c r="L106" i="23"/>
  <c r="N107" i="22"/>
  <c r="O107" i="22" s="1"/>
  <c r="P107" i="22" s="1"/>
  <c r="M107" i="22"/>
  <c r="L107" i="22"/>
  <c r="N110" i="11"/>
  <c r="O110" i="11" s="1"/>
  <c r="P110" i="11" s="1"/>
  <c r="M110" i="11"/>
  <c r="L110" i="11"/>
  <c r="N111" i="10"/>
  <c r="O111" i="10" s="1"/>
  <c r="P111" i="10" s="1"/>
  <c r="M111" i="10"/>
  <c r="L111" i="10"/>
  <c r="N110" i="9"/>
  <c r="O110" i="9" s="1"/>
  <c r="P110" i="9" s="1"/>
  <c r="M110" i="9"/>
  <c r="L110" i="9"/>
  <c r="N109" i="8"/>
  <c r="O109" i="8" s="1"/>
  <c r="P109" i="8" s="1"/>
  <c r="M109" i="8"/>
  <c r="L109" i="8"/>
  <c r="N111" i="7"/>
  <c r="O111" i="7" s="1"/>
  <c r="P111" i="7" s="1"/>
  <c r="M111" i="7"/>
  <c r="L111" i="7"/>
  <c r="N109" i="6"/>
  <c r="O109" i="6" s="1"/>
  <c r="P109" i="6" s="1"/>
  <c r="M109" i="6"/>
  <c r="L109" i="6"/>
  <c r="N108" i="5"/>
  <c r="O108" i="5" s="1"/>
  <c r="P108" i="5" s="1"/>
  <c r="M108" i="5"/>
  <c r="L108" i="5"/>
  <c r="N108" i="4"/>
  <c r="O108" i="4" s="1"/>
  <c r="P108" i="4" s="1"/>
  <c r="M108" i="4"/>
  <c r="L108" i="4"/>
  <c r="N108" i="3"/>
  <c r="O108" i="3" s="1"/>
  <c r="P108" i="3" s="1"/>
  <c r="M108" i="3"/>
  <c r="L108" i="3"/>
  <c r="O47" i="17"/>
  <c r="P44" i="17"/>
  <c r="P43" i="17"/>
  <c r="P102" i="30" l="1"/>
  <c r="J47" i="17" l="1"/>
  <c r="A4" i="1"/>
  <c r="A2" i="1"/>
  <c r="G93" i="17" l="1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M17" i="43"/>
  <c r="K17" i="43"/>
  <c r="E37" i="1"/>
  <c r="E36" i="1"/>
  <c r="E35" i="1"/>
  <c r="C36" i="1"/>
  <c r="C35" i="1"/>
  <c r="L19" i="1"/>
  <c r="I54" i="17"/>
  <c r="F93" i="17" l="1"/>
  <c r="E93" i="17"/>
  <c r="P42" i="17" l="1"/>
  <c r="E36" i="2" l="1"/>
  <c r="E35" i="2"/>
  <c r="C36" i="2"/>
  <c r="C35" i="2"/>
  <c r="C34" i="2"/>
  <c r="W42" i="17" l="1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M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L19" i="46"/>
  <c r="N18" i="46"/>
  <c r="L18" i="46"/>
  <c r="N17" i="46"/>
  <c r="L17" i="46"/>
  <c r="E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I14" i="46"/>
  <c r="K11" i="46"/>
  <c r="I11" i="46"/>
  <c r="D90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M100" i="45"/>
  <c r="O99" i="45"/>
  <c r="M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O71" i="45" s="1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O59" i="45" s="1"/>
  <c r="L59" i="45"/>
  <c r="N58" i="45"/>
  <c r="L58" i="45"/>
  <c r="N57" i="45"/>
  <c r="L57" i="45"/>
  <c r="N56" i="45"/>
  <c r="L56" i="45"/>
  <c r="N55" i="45"/>
  <c r="O55" i="45" s="1"/>
  <c r="L55" i="45"/>
  <c r="N54" i="45"/>
  <c r="L54" i="45"/>
  <c r="N53" i="45"/>
  <c r="L53" i="45"/>
  <c r="N52" i="45"/>
  <c r="L52" i="45"/>
  <c r="N51" i="45"/>
  <c r="O51" i="45" s="1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L20" i="45"/>
  <c r="N19" i="45"/>
  <c r="L19" i="45"/>
  <c r="N18" i="45"/>
  <c r="L18" i="45"/>
  <c r="N17" i="45"/>
  <c r="C17" i="45"/>
  <c r="I14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M100" i="44"/>
  <c r="C100" i="44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O99" i="44"/>
  <c r="M99" i="44"/>
  <c r="C99" i="44"/>
  <c r="D96" i="44"/>
  <c r="L93" i="44"/>
  <c r="J93" i="44"/>
  <c r="D91" i="44"/>
  <c r="D89" i="44"/>
  <c r="N72" i="44"/>
  <c r="L72" i="44"/>
  <c r="N71" i="44"/>
  <c r="L71" i="44"/>
  <c r="N70" i="44"/>
  <c r="L70" i="44"/>
  <c r="N69" i="44"/>
  <c r="O69" i="44" s="1"/>
  <c r="L69" i="44"/>
  <c r="N68" i="44"/>
  <c r="L68" i="44"/>
  <c r="N67" i="44"/>
  <c r="L67" i="44"/>
  <c r="N66" i="44"/>
  <c r="L66" i="44"/>
  <c r="N65" i="44"/>
  <c r="O65" i="44" s="1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O52" i="44" s="1"/>
  <c r="N51" i="44"/>
  <c r="L51" i="44"/>
  <c r="N50" i="44"/>
  <c r="L50" i="44"/>
  <c r="N49" i="44"/>
  <c r="O49" i="44" s="1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O41" i="44" s="1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O33" i="44" s="1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L19" i="44"/>
  <c r="N18" i="44"/>
  <c r="L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I14" i="44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M101" i="43"/>
  <c r="O100" i="43"/>
  <c r="M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L20" i="43"/>
  <c r="N19" i="43"/>
  <c r="L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K17" i="40"/>
  <c r="L17" i="40" s="1"/>
  <c r="N99" i="39"/>
  <c r="L99" i="39"/>
  <c r="M18" i="39"/>
  <c r="K18" i="39"/>
  <c r="N99" i="38"/>
  <c r="L99" i="38"/>
  <c r="M18" i="38"/>
  <c r="K18" i="38"/>
  <c r="L18" i="38" s="1"/>
  <c r="N99" i="37"/>
  <c r="L99" i="37"/>
  <c r="M18" i="37"/>
  <c r="N18" i="37" s="1"/>
  <c r="O18" i="37" s="1"/>
  <c r="K18" i="37"/>
  <c r="L18" i="37" s="1"/>
  <c r="N102" i="31"/>
  <c r="O102" i="31" s="1"/>
  <c r="P102" i="3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P102" i="29"/>
  <c r="L102" i="29"/>
  <c r="M102" i="29" s="1"/>
  <c r="M21" i="29"/>
  <c r="N21" i="29" s="1"/>
  <c r="L21" i="29"/>
  <c r="K21" i="29"/>
  <c r="N102" i="28"/>
  <c r="O102" i="28" s="1"/>
  <c r="P102" i="28" s="1"/>
  <c r="L102" i="28"/>
  <c r="M102" i="28" s="1"/>
  <c r="M21" i="28"/>
  <c r="N21" i="28" s="1"/>
  <c r="K21" i="28"/>
  <c r="L21" i="28"/>
  <c r="N103" i="27"/>
  <c r="O103" i="27"/>
  <c r="P103" i="27" s="1"/>
  <c r="M103" i="27"/>
  <c r="L103" i="27"/>
  <c r="M22" i="27"/>
  <c r="N22" i="27" s="1"/>
  <c r="O22" i="27" s="1"/>
  <c r="K22" i="27"/>
  <c r="L22" i="27" s="1"/>
  <c r="N106" i="25"/>
  <c r="O106" i="25" s="1"/>
  <c r="M106" i="25"/>
  <c r="P106" i="25" s="1"/>
  <c r="L106" i="25"/>
  <c r="M25" i="25"/>
  <c r="N25" i="25" s="1"/>
  <c r="K25" i="25"/>
  <c r="L25" i="25" s="1"/>
  <c r="N104" i="24"/>
  <c r="O104" i="24"/>
  <c r="P104" i="24" s="1"/>
  <c r="M104" i="24"/>
  <c r="L104" i="24"/>
  <c r="M23" i="24"/>
  <c r="N23" i="24" s="1"/>
  <c r="O23" i="24" s="1"/>
  <c r="K23" i="24"/>
  <c r="L23" i="24" s="1"/>
  <c r="N105" i="23"/>
  <c r="O105" i="23"/>
  <c r="M105" i="23"/>
  <c r="L105" i="23"/>
  <c r="M24" i="23"/>
  <c r="N24" i="23" s="1"/>
  <c r="K24" i="23"/>
  <c r="L24" i="23" s="1"/>
  <c r="N106" i="22"/>
  <c r="O106" i="22"/>
  <c r="P106" i="22" s="1"/>
  <c r="M106" i="22"/>
  <c r="L106" i="22"/>
  <c r="M25" i="22"/>
  <c r="N25" i="22" s="1"/>
  <c r="O25" i="22" s="1"/>
  <c r="K25" i="22"/>
  <c r="L25" i="22" s="1"/>
  <c r="N109" i="11"/>
  <c r="O109" i="11"/>
  <c r="M109" i="11"/>
  <c r="L109" i="11"/>
  <c r="M28" i="11"/>
  <c r="N28" i="11" s="1"/>
  <c r="K28" i="11"/>
  <c r="L28" i="11" s="1"/>
  <c r="N110" i="10"/>
  <c r="O110" i="10"/>
  <c r="P110" i="10" s="1"/>
  <c r="M110" i="10"/>
  <c r="L110" i="10"/>
  <c r="M29" i="10"/>
  <c r="N29" i="10" s="1"/>
  <c r="K29" i="10"/>
  <c r="L29" i="10" s="1"/>
  <c r="N109" i="9"/>
  <c r="O109" i="9"/>
  <c r="M109" i="9"/>
  <c r="L109" i="9"/>
  <c r="M28" i="9"/>
  <c r="N28" i="9" s="1"/>
  <c r="K28" i="9"/>
  <c r="L28" i="9" s="1"/>
  <c r="N108" i="8"/>
  <c r="O108" i="8"/>
  <c r="P108" i="8" s="1"/>
  <c r="M108" i="8"/>
  <c r="L108" i="8"/>
  <c r="M27" i="8"/>
  <c r="N27" i="8" s="1"/>
  <c r="O27" i="8" s="1"/>
  <c r="K27" i="8"/>
  <c r="L27" i="8" s="1"/>
  <c r="N110" i="7"/>
  <c r="O110" i="7"/>
  <c r="M110" i="7"/>
  <c r="L110" i="7"/>
  <c r="M29" i="7"/>
  <c r="N29" i="7" s="1"/>
  <c r="K29" i="7"/>
  <c r="L29" i="7" s="1"/>
  <c r="N108" i="6"/>
  <c r="O108" i="6"/>
  <c r="M108" i="6"/>
  <c r="L108" i="6"/>
  <c r="M27" i="6"/>
  <c r="N27" i="6" s="1"/>
  <c r="K27" i="6"/>
  <c r="L27" i="6" s="1"/>
  <c r="N107" i="5"/>
  <c r="O107" i="5"/>
  <c r="P107" i="5" s="1"/>
  <c r="M107" i="5"/>
  <c r="L107" i="5"/>
  <c r="M26" i="5"/>
  <c r="N26" i="5" s="1"/>
  <c r="O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/>
  <c r="P107" i="3" s="1"/>
  <c r="M107" i="3"/>
  <c r="L107" i="3"/>
  <c r="M26" i="3"/>
  <c r="N26" i="3" s="1"/>
  <c r="K26" i="3"/>
  <c r="L26" i="3" s="1"/>
  <c r="D92" i="6"/>
  <c r="U2" i="17"/>
  <c r="T14" i="17" s="1"/>
  <c r="M26" i="6"/>
  <c r="N26" i="6" s="1"/>
  <c r="L26" i="6"/>
  <c r="K26" i="6"/>
  <c r="M17" i="38"/>
  <c r="K17" i="38"/>
  <c r="L17" i="38"/>
  <c r="M17" i="39"/>
  <c r="K17" i="39"/>
  <c r="N101" i="31"/>
  <c r="O101" i="31" s="1"/>
  <c r="P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O19" i="30" s="1"/>
  <c r="K19" i="30"/>
  <c r="L19" i="30" s="1"/>
  <c r="N100" i="30"/>
  <c r="O100" i="30" s="1"/>
  <c r="L100" i="30"/>
  <c r="M100" i="30" s="1"/>
  <c r="O20" i="29"/>
  <c r="M20" i="29"/>
  <c r="N20" i="29"/>
  <c r="K20" i="29"/>
  <c r="L20" i="29" s="1"/>
  <c r="N101" i="29"/>
  <c r="O101" i="29"/>
  <c r="L101" i="29"/>
  <c r="M101" i="29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O21" i="27" s="1"/>
  <c r="K21" i="27"/>
  <c r="L21" i="27"/>
  <c r="N105" i="25"/>
  <c r="O105" i="25"/>
  <c r="M105" i="25"/>
  <c r="L105" i="25"/>
  <c r="M24" i="25"/>
  <c r="N24" i="25" s="1"/>
  <c r="K24" i="25"/>
  <c r="L24" i="25" s="1"/>
  <c r="N103" i="24"/>
  <c r="O103" i="24" s="1"/>
  <c r="L103" i="24"/>
  <c r="M103" i="24" s="1"/>
  <c r="M22" i="24"/>
  <c r="N22" i="24" s="1"/>
  <c r="O22" i="24" s="1"/>
  <c r="K22" i="24"/>
  <c r="L22" i="24" s="1"/>
  <c r="N104" i="23"/>
  <c r="O104" i="23"/>
  <c r="P104" i="23" s="1"/>
  <c r="L104" i="23"/>
  <c r="M104" i="23"/>
  <c r="M23" i="23"/>
  <c r="N23" i="23" s="1"/>
  <c r="K23" i="23"/>
  <c r="L23" i="23" s="1"/>
  <c r="N105" i="22"/>
  <c r="O105" i="22" s="1"/>
  <c r="L105" i="22"/>
  <c r="M105" i="22"/>
  <c r="M24" i="22"/>
  <c r="N24" i="22" s="1"/>
  <c r="O24" i="22" s="1"/>
  <c r="K24" i="22"/>
  <c r="L24" i="22" s="1"/>
  <c r="N108" i="11"/>
  <c r="O108" i="11"/>
  <c r="L108" i="11"/>
  <c r="M108" i="11" s="1"/>
  <c r="P108" i="11" s="1"/>
  <c r="M27" i="11"/>
  <c r="N27" i="11"/>
  <c r="L27" i="11"/>
  <c r="K27" i="11"/>
  <c r="N109" i="10"/>
  <c r="O109" i="10"/>
  <c r="M109" i="10"/>
  <c r="L109" i="10"/>
  <c r="M28" i="10"/>
  <c r="N28" i="10"/>
  <c r="O28" i="10"/>
  <c r="K28" i="10"/>
  <c r="L28" i="10" s="1"/>
  <c r="N108" i="9"/>
  <c r="O108" i="9"/>
  <c r="P108" i="9" s="1"/>
  <c r="L108" i="9"/>
  <c r="M108" i="9"/>
  <c r="M27" i="9"/>
  <c r="N27" i="9" s="1"/>
  <c r="K27" i="9"/>
  <c r="L27" i="9" s="1"/>
  <c r="N107" i="8"/>
  <c r="O107" i="8" s="1"/>
  <c r="L107" i="8"/>
  <c r="M107" i="8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 s="1"/>
  <c r="N107" i="6"/>
  <c r="O107" i="6"/>
  <c r="L107" i="6"/>
  <c r="M107" i="6" s="1"/>
  <c r="N106" i="5"/>
  <c r="O106" i="5" s="1"/>
  <c r="P106" i="5" s="1"/>
  <c r="L106" i="5"/>
  <c r="M106" i="5"/>
  <c r="M25" i="5"/>
  <c r="N25" i="5" s="1"/>
  <c r="O25" i="5" s="1"/>
  <c r="L25" i="5"/>
  <c r="K25" i="5"/>
  <c r="N106" i="4"/>
  <c r="O106" i="4"/>
  <c r="P106" i="4"/>
  <c r="L106" i="4"/>
  <c r="M106" i="4"/>
  <c r="M25" i="4"/>
  <c r="N25" i="4"/>
  <c r="O25" i="4" s="1"/>
  <c r="K25" i="4"/>
  <c r="L25" i="4" s="1"/>
  <c r="N106" i="3"/>
  <c r="O106" i="3" s="1"/>
  <c r="L106" i="3"/>
  <c r="M106" i="3" s="1"/>
  <c r="M25" i="3"/>
  <c r="N25" i="3" s="1"/>
  <c r="O25" i="3" s="1"/>
  <c r="L25" i="3"/>
  <c r="K25" i="3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M101" i="42"/>
  <c r="O100" i="42"/>
  <c r="M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O49" i="42" s="1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L20" i="42"/>
  <c r="N19" i="42"/>
  <c r="L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M101" i="41"/>
  <c r="O100" i="41"/>
  <c r="M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O57" i="41" s="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O33" i="41" s="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L21" i="41"/>
  <c r="N20" i="41"/>
  <c r="L20" i="41"/>
  <c r="N19" i="41"/>
  <c r="L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M16" i="2"/>
  <c r="J92" i="45" s="1"/>
  <c r="N100" i="31"/>
  <c r="O100" i="31"/>
  <c r="L100" i="31"/>
  <c r="M100" i="31" s="1"/>
  <c r="M19" i="31"/>
  <c r="N19" i="31" s="1"/>
  <c r="O19" i="31" s="1"/>
  <c r="K19" i="31"/>
  <c r="L19" i="31"/>
  <c r="N99" i="30"/>
  <c r="L99" i="30"/>
  <c r="M99" i="30" s="1"/>
  <c r="M18" i="30"/>
  <c r="N18" i="30" s="1"/>
  <c r="K18" i="30"/>
  <c r="L18" i="30" s="1"/>
  <c r="N100" i="29"/>
  <c r="O100" i="29"/>
  <c r="L100" i="29"/>
  <c r="M100" i="29" s="1"/>
  <c r="M19" i="29"/>
  <c r="N19" i="29" s="1"/>
  <c r="L19" i="29"/>
  <c r="K19" i="29"/>
  <c r="N100" i="28"/>
  <c r="O100" i="28" s="1"/>
  <c r="L100" i="28"/>
  <c r="M100" i="28" s="1"/>
  <c r="M19" i="28"/>
  <c r="N19" i="28"/>
  <c r="K19" i="28"/>
  <c r="L19" i="28" s="1"/>
  <c r="N101" i="27"/>
  <c r="O101" i="27" s="1"/>
  <c r="P101" i="27" s="1"/>
  <c r="L101" i="27"/>
  <c r="M101" i="27"/>
  <c r="M20" i="27"/>
  <c r="N20" i="27"/>
  <c r="K20" i="27"/>
  <c r="L20" i="27" s="1"/>
  <c r="N104" i="25"/>
  <c r="O104" i="25" s="1"/>
  <c r="P104" i="25" s="1"/>
  <c r="L104" i="25"/>
  <c r="M104" i="25" s="1"/>
  <c r="M23" i="25"/>
  <c r="N23" i="25"/>
  <c r="O23" i="25" s="1"/>
  <c r="K23" i="25"/>
  <c r="L23" i="25" s="1"/>
  <c r="N102" i="24"/>
  <c r="O102" i="24" s="1"/>
  <c r="P102" i="24"/>
  <c r="L102" i="24"/>
  <c r="M102" i="24"/>
  <c r="M21" i="24"/>
  <c r="N21" i="24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M23" i="22"/>
  <c r="N23" i="22" s="1"/>
  <c r="O23" i="22" s="1"/>
  <c r="K23" i="22"/>
  <c r="L23" i="22"/>
  <c r="N107" i="11"/>
  <c r="O107" i="11"/>
  <c r="P107" i="11" s="1"/>
  <c r="L107" i="11"/>
  <c r="M107" i="11" s="1"/>
  <c r="M26" i="11"/>
  <c r="N26" i="11" s="1"/>
  <c r="O26" i="11" s="1"/>
  <c r="K26" i="11"/>
  <c r="L26" i="11"/>
  <c r="N108" i="10"/>
  <c r="O108" i="10"/>
  <c r="L108" i="10"/>
  <c r="M108" i="10" s="1"/>
  <c r="M27" i="10"/>
  <c r="N27" i="10" s="1"/>
  <c r="O27" i="10" s="1"/>
  <c r="K27" i="10"/>
  <c r="L27" i="10"/>
  <c r="N107" i="9"/>
  <c r="O107" i="9"/>
  <c r="L107" i="9"/>
  <c r="M107" i="9" s="1"/>
  <c r="M26" i="9"/>
  <c r="N26" i="9" s="1"/>
  <c r="K26" i="9"/>
  <c r="L26" i="9" s="1"/>
  <c r="N106" i="8"/>
  <c r="O106" i="8" s="1"/>
  <c r="L106" i="8"/>
  <c r="M106" i="8" s="1"/>
  <c r="P106" i="8"/>
  <c r="M25" i="8"/>
  <c r="N25" i="8"/>
  <c r="K25" i="8"/>
  <c r="L25" i="8"/>
  <c r="N108" i="7"/>
  <c r="O108" i="7" s="1"/>
  <c r="P108" i="7" s="1"/>
  <c r="L108" i="7"/>
  <c r="M108" i="7"/>
  <c r="M27" i="7"/>
  <c r="N27" i="7"/>
  <c r="K27" i="7"/>
  <c r="L27" i="7"/>
  <c r="M25" i="6"/>
  <c r="N25" i="6"/>
  <c r="K25" i="6"/>
  <c r="L25" i="6" s="1"/>
  <c r="N106" i="6"/>
  <c r="O106" i="6" s="1"/>
  <c r="P106" i="6" s="1"/>
  <c r="L106" i="6"/>
  <c r="M106" i="6"/>
  <c r="N105" i="5"/>
  <c r="O105" i="5"/>
  <c r="P105" i="5" s="1"/>
  <c r="L105" i="5"/>
  <c r="M105" i="5" s="1"/>
  <c r="M24" i="5"/>
  <c r="N24" i="5" s="1"/>
  <c r="O24" i="5"/>
  <c r="K24" i="5"/>
  <c r="L24" i="5"/>
  <c r="N105" i="4"/>
  <c r="L105" i="4"/>
  <c r="M105" i="4" s="1"/>
  <c r="M24" i="4"/>
  <c r="N24" i="4" s="1"/>
  <c r="K24" i="4"/>
  <c r="L24" i="4" s="1"/>
  <c r="M24" i="3"/>
  <c r="N24" i="3" s="1"/>
  <c r="K24" i="3"/>
  <c r="L24" i="3" s="1"/>
  <c r="O24" i="3" s="1"/>
  <c r="N105" i="3"/>
  <c r="O105" i="3"/>
  <c r="L105" i="3"/>
  <c r="M105" i="3" s="1"/>
  <c r="P39" i="17"/>
  <c r="P38" i="17"/>
  <c r="P37" i="17"/>
  <c r="P36" i="17"/>
  <c r="O26" i="9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M101" i="40"/>
  <c r="O100" i="40"/>
  <c r="M100" i="40"/>
  <c r="D96" i="40"/>
  <c r="L93" i="40"/>
  <c r="J93" i="40"/>
  <c r="D91" i="40"/>
  <c r="D89" i="40"/>
  <c r="N72" i="40"/>
  <c r="O72" i="40" s="1"/>
  <c r="L72" i="40"/>
  <c r="N71" i="40"/>
  <c r="L71" i="40"/>
  <c r="N70" i="40"/>
  <c r="O70" i="40" s="1"/>
  <c r="L70" i="40"/>
  <c r="N69" i="40"/>
  <c r="L69" i="40"/>
  <c r="N68" i="40"/>
  <c r="L68" i="40"/>
  <c r="N67" i="40"/>
  <c r="L67" i="40"/>
  <c r="N66" i="40"/>
  <c r="O66" i="40" s="1"/>
  <c r="L66" i="40"/>
  <c r="N65" i="40"/>
  <c r="L65" i="40"/>
  <c r="N64" i="40"/>
  <c r="O64" i="40" s="1"/>
  <c r="L64" i="40"/>
  <c r="N63" i="40"/>
  <c r="L63" i="40"/>
  <c r="N62" i="40"/>
  <c r="O62" i="40" s="1"/>
  <c r="L62" i="40"/>
  <c r="N61" i="40"/>
  <c r="L61" i="40"/>
  <c r="N60" i="40"/>
  <c r="L60" i="40"/>
  <c r="N59" i="40"/>
  <c r="L59" i="40"/>
  <c r="N58" i="40"/>
  <c r="O58" i="40" s="1"/>
  <c r="L58" i="40"/>
  <c r="N57" i="40"/>
  <c r="L57" i="40"/>
  <c r="N56" i="40"/>
  <c r="O56" i="40" s="1"/>
  <c r="L56" i="40"/>
  <c r="N55" i="40"/>
  <c r="L55" i="40"/>
  <c r="N54" i="40"/>
  <c r="L54" i="40"/>
  <c r="N53" i="40"/>
  <c r="L53" i="40"/>
  <c r="N52" i="40"/>
  <c r="O52" i="40" s="1"/>
  <c r="L52" i="40"/>
  <c r="N51" i="40"/>
  <c r="L51" i="40"/>
  <c r="N50" i="40"/>
  <c r="O50" i="40" s="1"/>
  <c r="L50" i="40"/>
  <c r="N49" i="40"/>
  <c r="L49" i="40"/>
  <c r="N48" i="40"/>
  <c r="L48" i="40"/>
  <c r="N47" i="40"/>
  <c r="L47" i="40"/>
  <c r="N46" i="40"/>
  <c r="O46" i="40" s="1"/>
  <c r="L46" i="40"/>
  <c r="N45" i="40"/>
  <c r="L45" i="40"/>
  <c r="N44" i="40"/>
  <c r="O44" i="40" s="1"/>
  <c r="L44" i="40"/>
  <c r="N43" i="40"/>
  <c r="L43" i="40"/>
  <c r="N42" i="40"/>
  <c r="O42" i="40" s="1"/>
  <c r="L42" i="40"/>
  <c r="N41" i="40"/>
  <c r="L41" i="40"/>
  <c r="N40" i="40"/>
  <c r="O40" i="40" s="1"/>
  <c r="L40" i="40"/>
  <c r="N39" i="40"/>
  <c r="L39" i="40"/>
  <c r="N38" i="40"/>
  <c r="O38" i="40" s="1"/>
  <c r="L38" i="40"/>
  <c r="N37" i="40"/>
  <c r="L37" i="40"/>
  <c r="N36" i="40"/>
  <c r="O36" i="40" s="1"/>
  <c r="L36" i="40"/>
  <c r="N35" i="40"/>
  <c r="L35" i="40"/>
  <c r="N34" i="40"/>
  <c r="O34" i="40" s="1"/>
  <c r="L34" i="40"/>
  <c r="N33" i="40"/>
  <c r="L33" i="40"/>
  <c r="N32" i="40"/>
  <c r="O32" i="40" s="1"/>
  <c r="L32" i="40"/>
  <c r="N31" i="40"/>
  <c r="L31" i="40"/>
  <c r="N30" i="40"/>
  <c r="O30" i="40" s="1"/>
  <c r="L30" i="40"/>
  <c r="N29" i="40"/>
  <c r="L29" i="40"/>
  <c r="N28" i="40"/>
  <c r="O28" i="40" s="1"/>
  <c r="L28" i="40"/>
  <c r="N27" i="40"/>
  <c r="L27" i="40"/>
  <c r="N26" i="40"/>
  <c r="O26" i="40" s="1"/>
  <c r="L26" i="40"/>
  <c r="N25" i="40"/>
  <c r="L25" i="40"/>
  <c r="N24" i="40"/>
  <c r="O24" i="40" s="1"/>
  <c r="L24" i="40"/>
  <c r="N23" i="40"/>
  <c r="L23" i="40"/>
  <c r="N22" i="40"/>
  <c r="L22" i="40"/>
  <c r="N21" i="40"/>
  <c r="L21" i="40"/>
  <c r="N20" i="40"/>
  <c r="L20" i="40"/>
  <c r="N19" i="40"/>
  <c r="L19" i="40"/>
  <c r="N18" i="40"/>
  <c r="O18" i="40" s="1"/>
  <c r="N17" i="40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M102" i="39"/>
  <c r="O101" i="39"/>
  <c r="M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O55" i="39" s="1"/>
  <c r="N54" i="39"/>
  <c r="L54" i="39"/>
  <c r="N53" i="39"/>
  <c r="L53" i="39"/>
  <c r="N52" i="39"/>
  <c r="L52" i="39"/>
  <c r="N51" i="39"/>
  <c r="L51" i="39"/>
  <c r="O51" i="39" s="1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O41" i="39" s="1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O25" i="39" s="1"/>
  <c r="N24" i="39"/>
  <c r="L24" i="39"/>
  <c r="N23" i="39"/>
  <c r="L23" i="39"/>
  <c r="N22" i="39"/>
  <c r="L22" i="39"/>
  <c r="N21" i="39"/>
  <c r="L21" i="39"/>
  <c r="N20" i="39"/>
  <c r="L20" i="39"/>
  <c r="N19" i="39"/>
  <c r="N18" i="39"/>
  <c r="L18" i="39"/>
  <c r="N17" i="39"/>
  <c r="L17" i="39"/>
  <c r="O17" i="39"/>
  <c r="C17" i="39"/>
  <c r="C18" i="39" s="1"/>
  <c r="C19" i="39" s="1"/>
  <c r="C20" i="39" s="1"/>
  <c r="C21" i="39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101" i="38"/>
  <c r="O99" i="38"/>
  <c r="M99" i="38"/>
  <c r="P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O65" i="38" s="1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O31" i="38" s="1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L21" i="38"/>
  <c r="N20" i="38"/>
  <c r="L20" i="38"/>
  <c r="N19" i="38"/>
  <c r="N18" i="38"/>
  <c r="O18" i="38" s="1"/>
  <c r="N17" i="38"/>
  <c r="O17" i="38" s="1"/>
  <c r="C18" i="38"/>
  <c r="C19" i="38" s="1"/>
  <c r="C20" i="38" s="1"/>
  <c r="C21" i="38" s="1"/>
  <c r="C22" i="38" s="1"/>
  <c r="C23" i="38" s="1"/>
  <c r="C24" i="38" s="1"/>
  <c r="C25" i="38" s="1"/>
  <c r="C26" i="38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M101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O60" i="37" s="1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L21" i="37"/>
  <c r="N20" i="37"/>
  <c r="L20" i="37"/>
  <c r="N19" i="37"/>
  <c r="C17" i="37"/>
  <c r="C18" i="37"/>
  <c r="C19" i="37" s="1"/>
  <c r="C20" i="37"/>
  <c r="C21" i="37" s="1"/>
  <c r="C22" i="37" s="1"/>
  <c r="C23" i="37" s="1"/>
  <c r="C24" i="37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/>
  <c r="S47" i="17"/>
  <c r="M47" i="17"/>
  <c r="N99" i="31"/>
  <c r="O99" i="31" s="1"/>
  <c r="L99" i="31"/>
  <c r="M99" i="31" s="1"/>
  <c r="D96" i="31"/>
  <c r="M18" i="31"/>
  <c r="N18" i="31"/>
  <c r="K18" i="31"/>
  <c r="L18" i="3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/>
  <c r="N99" i="28"/>
  <c r="O99" i="28"/>
  <c r="L99" i="28"/>
  <c r="M99" i="28" s="1"/>
  <c r="M18" i="28"/>
  <c r="N18" i="28"/>
  <c r="K18" i="28"/>
  <c r="L18" i="28"/>
  <c r="N103" i="25"/>
  <c r="O103" i="25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O20" i="24" s="1"/>
  <c r="K20" i="24"/>
  <c r="L20" i="24"/>
  <c r="M21" i="23"/>
  <c r="N21" i="23"/>
  <c r="K21" i="23"/>
  <c r="L21" i="23"/>
  <c r="N102" i="23"/>
  <c r="O102" i="23"/>
  <c r="L102" i="23"/>
  <c r="M102" i="23"/>
  <c r="N103" i="22"/>
  <c r="O103" i="22"/>
  <c r="L103" i="22"/>
  <c r="M103" i="22"/>
  <c r="M22" i="22"/>
  <c r="N22" i="22"/>
  <c r="K22" i="22"/>
  <c r="L22" i="22"/>
  <c r="N106" i="11"/>
  <c r="O106" i="11"/>
  <c r="L106" i="11"/>
  <c r="M106" i="11"/>
  <c r="M25" i="11"/>
  <c r="N25" i="11"/>
  <c r="K25" i="11"/>
  <c r="L25" i="11"/>
  <c r="N107" i="10"/>
  <c r="O107" i="10"/>
  <c r="L107" i="10"/>
  <c r="M107" i="10"/>
  <c r="M26" i="10"/>
  <c r="N26" i="10"/>
  <c r="K26" i="10"/>
  <c r="L26" i="10"/>
  <c r="N106" i="9"/>
  <c r="O106" i="9"/>
  <c r="P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/>
  <c r="L107" i="7"/>
  <c r="M107" i="7"/>
  <c r="M26" i="7"/>
  <c r="N26" i="7"/>
  <c r="K26" i="7"/>
  <c r="L26" i="7"/>
  <c r="N105" i="6"/>
  <c r="O105" i="6"/>
  <c r="L105" i="6"/>
  <c r="M105" i="6"/>
  <c r="M24" i="6"/>
  <c r="N24" i="6"/>
  <c r="K24" i="6"/>
  <c r="L24" i="6"/>
  <c r="N104" i="5"/>
  <c r="O104" i="5"/>
  <c r="L104" i="5"/>
  <c r="M104" i="5"/>
  <c r="M23" i="5"/>
  <c r="N23" i="5"/>
  <c r="K23" i="5"/>
  <c r="L23" i="5"/>
  <c r="N104" i="4"/>
  <c r="O104" i="4"/>
  <c r="L104" i="4"/>
  <c r="M104" i="4"/>
  <c r="M23" i="4"/>
  <c r="N23" i="4"/>
  <c r="K23" i="4"/>
  <c r="L23" i="4"/>
  <c r="N104" i="3"/>
  <c r="O104" i="3"/>
  <c r="P104" i="3" s="1"/>
  <c r="L104" i="3"/>
  <c r="M104" i="3" s="1"/>
  <c r="M23" i="3"/>
  <c r="N23" i="3" s="1"/>
  <c r="O23" i="3" s="1"/>
  <c r="K23" i="3"/>
  <c r="L23" i="3" s="1"/>
  <c r="N100" i="27"/>
  <c r="O100" i="27"/>
  <c r="P100" i="27" s="1"/>
  <c r="L100" i="27"/>
  <c r="M100" i="27" s="1"/>
  <c r="N99" i="27"/>
  <c r="O99" i="27" s="1"/>
  <c r="L99" i="27"/>
  <c r="M99" i="27" s="1"/>
  <c r="M19" i="27"/>
  <c r="N19" i="27" s="1"/>
  <c r="O19" i="27" s="1"/>
  <c r="L19" i="27"/>
  <c r="K19" i="27"/>
  <c r="M17" i="31"/>
  <c r="N17" i="31"/>
  <c r="O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M105" i="31"/>
  <c r="O104" i="31"/>
  <c r="M104" i="31"/>
  <c r="L93" i="31"/>
  <c r="J93" i="31"/>
  <c r="E91" i="31"/>
  <c r="D91" i="31"/>
  <c r="D89" i="31"/>
  <c r="N72" i="31"/>
  <c r="L72" i="31"/>
  <c r="O72" i="31" s="1"/>
  <c r="N71" i="31"/>
  <c r="O71" i="31" s="1"/>
  <c r="L71" i="31"/>
  <c r="N70" i="31"/>
  <c r="L70" i="31"/>
  <c r="N69" i="31"/>
  <c r="O69" i="31" s="1"/>
  <c r="L69" i="31"/>
  <c r="N68" i="31"/>
  <c r="L68" i="31"/>
  <c r="N67" i="31"/>
  <c r="O67" i="31" s="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O59" i="31" s="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O47" i="31" s="1"/>
  <c r="N46" i="31"/>
  <c r="L46" i="31"/>
  <c r="N45" i="31"/>
  <c r="L45" i="31"/>
  <c r="N44" i="31"/>
  <c r="L44" i="31"/>
  <c r="N43" i="31"/>
  <c r="L43" i="31"/>
  <c r="N42" i="31"/>
  <c r="L42" i="31"/>
  <c r="N41" i="31"/>
  <c r="O41" i="31" s="1"/>
  <c r="L41" i="31"/>
  <c r="N40" i="31"/>
  <c r="L40" i="31"/>
  <c r="N39" i="31"/>
  <c r="L39" i="31"/>
  <c r="N38" i="31"/>
  <c r="L38" i="31"/>
  <c r="N37" i="31"/>
  <c r="L37" i="31"/>
  <c r="N36" i="31"/>
  <c r="L36" i="31"/>
  <c r="N35" i="31"/>
  <c r="O35" i="31" s="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O27" i="31" s="1"/>
  <c r="N26" i="31"/>
  <c r="L26" i="31"/>
  <c r="N25" i="31"/>
  <c r="O25" i="31" s="1"/>
  <c r="L25" i="31"/>
  <c r="N24" i="31"/>
  <c r="L24" i="31"/>
  <c r="N23" i="31"/>
  <c r="L23" i="31"/>
  <c r="O23" i="31" s="1"/>
  <c r="N22" i="31"/>
  <c r="C34" i="3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M104" i="30"/>
  <c r="O103" i="30"/>
  <c r="M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O47" i="30" s="1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L23" i="30"/>
  <c r="O23" i="30" s="1"/>
  <c r="N22" i="30"/>
  <c r="L22" i="30"/>
  <c r="N21" i="30"/>
  <c r="C17" i="30"/>
  <c r="C18" i="30" s="1"/>
  <c r="C19" i="30" s="1"/>
  <c r="C20" i="30" s="1"/>
  <c r="C21" i="30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O17" i="29" s="1"/>
  <c r="K17" i="29"/>
  <c r="L17" i="29"/>
  <c r="M17" i="28"/>
  <c r="N17" i="28"/>
  <c r="K17" i="28"/>
  <c r="L17" i="28" s="1"/>
  <c r="N102" i="25"/>
  <c r="O102" i="25"/>
  <c r="P102" i="25" s="1"/>
  <c r="L102" i="25"/>
  <c r="M102" i="25" s="1"/>
  <c r="M21" i="25"/>
  <c r="N21" i="25" s="1"/>
  <c r="K21" i="25"/>
  <c r="L21" i="25"/>
  <c r="N100" i="24"/>
  <c r="O100" i="24"/>
  <c r="L100" i="24"/>
  <c r="M100" i="24"/>
  <c r="M19" i="24"/>
  <c r="N19" i="24"/>
  <c r="K19" i="24"/>
  <c r="L19" i="24" s="1"/>
  <c r="N101" i="23"/>
  <c r="O101" i="23" s="1"/>
  <c r="P101" i="23" s="1"/>
  <c r="L101" i="23"/>
  <c r="M101" i="23"/>
  <c r="M20" i="23"/>
  <c r="N20" i="23"/>
  <c r="O20" i="23" s="1"/>
  <c r="K20" i="23"/>
  <c r="L20" i="23"/>
  <c r="N102" i="22"/>
  <c r="O102" i="22"/>
  <c r="P102" i="22" s="1"/>
  <c r="L102" i="22"/>
  <c r="M102" i="22" s="1"/>
  <c r="M21" i="22"/>
  <c r="N21" i="22" s="1"/>
  <c r="O21" i="22" s="1"/>
  <c r="K21" i="22"/>
  <c r="L21" i="22" s="1"/>
  <c r="N105" i="11"/>
  <c r="O105" i="11" s="1"/>
  <c r="P105" i="11"/>
  <c r="L105" i="11"/>
  <c r="M105" i="11"/>
  <c r="M24" i="11"/>
  <c r="K24" i="11"/>
  <c r="L24" i="11" s="1"/>
  <c r="N106" i="10"/>
  <c r="O106" i="10" s="1"/>
  <c r="P106" i="10" s="1"/>
  <c r="L106" i="10"/>
  <c r="M106" i="10" s="1"/>
  <c r="M25" i="10"/>
  <c r="N25" i="10"/>
  <c r="K25" i="10"/>
  <c r="L25" i="10" s="1"/>
  <c r="N105" i="9"/>
  <c r="O105" i="9"/>
  <c r="P105" i="9" s="1"/>
  <c r="L105" i="9"/>
  <c r="M105" i="9"/>
  <c r="M24" i="9"/>
  <c r="N24" i="9" s="1"/>
  <c r="K24" i="9"/>
  <c r="L24" i="9" s="1"/>
  <c r="N104" i="8"/>
  <c r="O104" i="8" s="1"/>
  <c r="P104" i="8" s="1"/>
  <c r="L104" i="8"/>
  <c r="M104" i="8" s="1"/>
  <c r="M23" i="8"/>
  <c r="N23" i="8" s="1"/>
  <c r="O23" i="8" s="1"/>
  <c r="K23" i="8"/>
  <c r="L23" i="8" s="1"/>
  <c r="N106" i="7"/>
  <c r="O106" i="7" s="1"/>
  <c r="L106" i="7"/>
  <c r="M106" i="7" s="1"/>
  <c r="M25" i="7"/>
  <c r="N25" i="7" s="1"/>
  <c r="O25" i="7" s="1"/>
  <c r="K25" i="7"/>
  <c r="L25" i="7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/>
  <c r="M22" i="5"/>
  <c r="N22" i="5" s="1"/>
  <c r="O22" i="5" s="1"/>
  <c r="K22" i="5"/>
  <c r="L22" i="5" s="1"/>
  <c r="N103" i="4"/>
  <c r="O103" i="4" s="1"/>
  <c r="P103" i="4" s="1"/>
  <c r="M103" i="4"/>
  <c r="L103" i="4"/>
  <c r="M22" i="4"/>
  <c r="N22" i="4"/>
  <c r="K22" i="4"/>
  <c r="L22" i="4" s="1"/>
  <c r="N103" i="3"/>
  <c r="O103" i="3"/>
  <c r="P103" i="3"/>
  <c r="L103" i="3"/>
  <c r="M103" i="3" s="1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M105" i="29"/>
  <c r="O104" i="29"/>
  <c r="M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O67" i="29" s="1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L24" i="29"/>
  <c r="N23" i="29"/>
  <c r="L23" i="29"/>
  <c r="N22" i="29"/>
  <c r="C17" i="29"/>
  <c r="C18" i="29" s="1"/>
  <c r="C19" i="29" s="1"/>
  <c r="C20" i="29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M105" i="28"/>
  <c r="O104" i="28"/>
  <c r="M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L23" i="28"/>
  <c r="N22" i="28"/>
  <c r="C17" i="28"/>
  <c r="C18" i="28"/>
  <c r="C19" i="28"/>
  <c r="C20" i="28"/>
  <c r="C21" i="28" s="1"/>
  <c r="C22" i="28" s="1"/>
  <c r="C23" i="28" s="1"/>
  <c r="C24" i="28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/>
  <c r="K17" i="27"/>
  <c r="L17" i="27" s="1"/>
  <c r="O17" i="27" s="1"/>
  <c r="N101" i="25"/>
  <c r="O101" i="25"/>
  <c r="P101" i="25"/>
  <c r="L101" i="25"/>
  <c r="M101" i="25"/>
  <c r="N100" i="25"/>
  <c r="O100" i="25" s="1"/>
  <c r="L100" i="25"/>
  <c r="M100" i="25" s="1"/>
  <c r="N99" i="25"/>
  <c r="O99" i="25"/>
  <c r="L99" i="25"/>
  <c r="M99" i="25" s="1"/>
  <c r="M20" i="25"/>
  <c r="N20" i="25"/>
  <c r="O20" i="25" s="1"/>
  <c r="K20" i="25"/>
  <c r="L20" i="25"/>
  <c r="D92" i="24"/>
  <c r="N100" i="23"/>
  <c r="O100" i="23" s="1"/>
  <c r="L100" i="23"/>
  <c r="M100" i="23"/>
  <c r="M19" i="23"/>
  <c r="N19" i="23" s="1"/>
  <c r="K19" i="23"/>
  <c r="L19" i="23"/>
  <c r="N101" i="22"/>
  <c r="O101" i="22"/>
  <c r="L101" i="22"/>
  <c r="M101" i="22" s="1"/>
  <c r="M20" i="22"/>
  <c r="N20" i="22"/>
  <c r="K20" i="22"/>
  <c r="L20" i="22" s="1"/>
  <c r="N104" i="11"/>
  <c r="O104" i="11"/>
  <c r="L104" i="11"/>
  <c r="M104" i="11" s="1"/>
  <c r="M23" i="11"/>
  <c r="N23" i="11"/>
  <c r="K23" i="11"/>
  <c r="L23" i="11" s="1"/>
  <c r="N105" i="10"/>
  <c r="O105" i="10"/>
  <c r="L105" i="10"/>
  <c r="M105" i="10" s="1"/>
  <c r="M24" i="10"/>
  <c r="N24" i="10"/>
  <c r="K24" i="10"/>
  <c r="L24" i="10" s="1"/>
  <c r="N104" i="9"/>
  <c r="O104" i="9"/>
  <c r="P104" i="9" s="1"/>
  <c r="L104" i="9"/>
  <c r="M104" i="9"/>
  <c r="M23" i="9"/>
  <c r="N23" i="9" s="1"/>
  <c r="K23" i="9"/>
  <c r="L23" i="9"/>
  <c r="O23" i="9"/>
  <c r="N103" i="8"/>
  <c r="O103" i="8" s="1"/>
  <c r="L103" i="8"/>
  <c r="M103" i="8"/>
  <c r="M22" i="8"/>
  <c r="N22" i="8" s="1"/>
  <c r="O22" i="8" s="1"/>
  <c r="K22" i="8"/>
  <c r="L22" i="8" s="1"/>
  <c r="N105" i="7"/>
  <c r="O105" i="7"/>
  <c r="L105" i="7"/>
  <c r="M105" i="7" s="1"/>
  <c r="M24" i="7"/>
  <c r="N24" i="7"/>
  <c r="O24" i="7" s="1"/>
  <c r="K24" i="7"/>
  <c r="L24" i="7" s="1"/>
  <c r="N103" i="6"/>
  <c r="O103" i="6"/>
  <c r="L103" i="6"/>
  <c r="M103" i="6" s="1"/>
  <c r="M22" i="6"/>
  <c r="N22" i="6"/>
  <c r="K22" i="6"/>
  <c r="L22" i="6" s="1"/>
  <c r="M21" i="5"/>
  <c r="N21" i="5"/>
  <c r="O21" i="5" s="1"/>
  <c r="K21" i="5"/>
  <c r="L21" i="5" s="1"/>
  <c r="N102" i="4"/>
  <c r="O102" i="4" s="1"/>
  <c r="L102" i="4"/>
  <c r="M102" i="4"/>
  <c r="P102" i="4"/>
  <c r="M21" i="4"/>
  <c r="N21" i="4" s="1"/>
  <c r="K21" i="4"/>
  <c r="L21" i="4"/>
  <c r="N102" i="3"/>
  <c r="O102" i="3" s="1"/>
  <c r="L102" i="3"/>
  <c r="M102" i="3"/>
  <c r="M21" i="3"/>
  <c r="N21" i="3" s="1"/>
  <c r="O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M106" i="27"/>
  <c r="O105" i="27"/>
  <c r="M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O67" i="27" s="1"/>
  <c r="N66" i="27"/>
  <c r="L66" i="27"/>
  <c r="N65" i="27"/>
  <c r="L65" i="27"/>
  <c r="O65" i="27" s="1"/>
  <c r="N64" i="27"/>
  <c r="L64" i="27"/>
  <c r="N63" i="27"/>
  <c r="L63" i="27"/>
  <c r="N62" i="27"/>
  <c r="L62" i="27"/>
  <c r="N61" i="27"/>
  <c r="L61" i="27"/>
  <c r="O61" i="27" s="1"/>
  <c r="N60" i="27"/>
  <c r="L60" i="27"/>
  <c r="N59" i="27"/>
  <c r="L59" i="27"/>
  <c r="N58" i="27"/>
  <c r="L58" i="27"/>
  <c r="N57" i="27"/>
  <c r="L57" i="27"/>
  <c r="O57" i="27" s="1"/>
  <c r="N56" i="27"/>
  <c r="L56" i="27"/>
  <c r="N55" i="27"/>
  <c r="L55" i="27"/>
  <c r="O55" i="27" s="1"/>
  <c r="N54" i="27"/>
  <c r="L54" i="27"/>
  <c r="N53" i="27"/>
  <c r="L53" i="27"/>
  <c r="O53" i="27" s="1"/>
  <c r="N52" i="27"/>
  <c r="L52" i="27"/>
  <c r="N51" i="27"/>
  <c r="L51" i="27"/>
  <c r="O51" i="27" s="1"/>
  <c r="N50" i="27"/>
  <c r="L50" i="27"/>
  <c r="N49" i="27"/>
  <c r="L49" i="27"/>
  <c r="N48" i="27"/>
  <c r="L48" i="27"/>
  <c r="N47" i="27"/>
  <c r="L47" i="27"/>
  <c r="O47" i="27" s="1"/>
  <c r="N46" i="27"/>
  <c r="L46" i="27"/>
  <c r="N45" i="27"/>
  <c r="L45" i="27"/>
  <c r="O45" i="27" s="1"/>
  <c r="N44" i="27"/>
  <c r="L44" i="27"/>
  <c r="N43" i="27"/>
  <c r="L43" i="27"/>
  <c r="N42" i="27"/>
  <c r="L42" i="27"/>
  <c r="N41" i="27"/>
  <c r="L41" i="27"/>
  <c r="N40" i="27"/>
  <c r="L40" i="27"/>
  <c r="N39" i="27"/>
  <c r="L39" i="27"/>
  <c r="O39" i="27" s="1"/>
  <c r="N38" i="27"/>
  <c r="L38" i="27"/>
  <c r="N37" i="27"/>
  <c r="L37" i="27"/>
  <c r="O37" i="27" s="1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O29" i="27" s="1"/>
  <c r="N28" i="27"/>
  <c r="L28" i="27"/>
  <c r="N27" i="27"/>
  <c r="L27" i="27"/>
  <c r="N26" i="27"/>
  <c r="L26" i="27"/>
  <c r="N25" i="27"/>
  <c r="L25" i="27"/>
  <c r="O25" i="27" s="1"/>
  <c r="N24" i="27"/>
  <c r="L24" i="27"/>
  <c r="N23" i="27"/>
  <c r="C17" i="27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/>
  <c r="C47" i="27" s="1"/>
  <c r="C48" i="27" s="1"/>
  <c r="C49" i="27" s="1"/>
  <c r="C50" i="27" s="1"/>
  <c r="K11" i="27"/>
  <c r="I11" i="27"/>
  <c r="M17" i="25"/>
  <c r="N17" i="25"/>
  <c r="O17" i="25" s="1"/>
  <c r="K17" i="25"/>
  <c r="L17" i="25" s="1"/>
  <c r="M17" i="24"/>
  <c r="N17" i="24" s="1"/>
  <c r="O17" i="24" s="1"/>
  <c r="K17" i="24"/>
  <c r="N99" i="23"/>
  <c r="L99" i="23"/>
  <c r="M18" i="23"/>
  <c r="N18" i="23"/>
  <c r="K18" i="23"/>
  <c r="N100" i="22"/>
  <c r="L100" i="22"/>
  <c r="M19" i="22"/>
  <c r="N19" i="22"/>
  <c r="K19" i="22"/>
  <c r="N103" i="11"/>
  <c r="L103" i="11"/>
  <c r="M103" i="11" s="1"/>
  <c r="M22" i="11"/>
  <c r="N22" i="11" s="1"/>
  <c r="K22" i="11"/>
  <c r="N104" i="10"/>
  <c r="L104" i="10"/>
  <c r="M23" i="10"/>
  <c r="N23" i="10"/>
  <c r="K23" i="10"/>
  <c r="N103" i="9"/>
  <c r="L103" i="9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/>
  <c r="K21" i="6"/>
  <c r="N101" i="5"/>
  <c r="L101" i="5"/>
  <c r="M20" i="5"/>
  <c r="N20" i="5" s="1"/>
  <c r="K20" i="5"/>
  <c r="N101" i="4"/>
  <c r="L101" i="4"/>
  <c r="M20" i="4"/>
  <c r="N20" i="4" s="1"/>
  <c r="K20" i="4"/>
  <c r="N101" i="3"/>
  <c r="L101" i="3"/>
  <c r="M20" i="3"/>
  <c r="N20" i="3"/>
  <c r="K20" i="3"/>
  <c r="I10" i="45"/>
  <c r="F81" i="2"/>
  <c r="F87" i="2"/>
  <c r="F86" i="2"/>
  <c r="C17" i="3"/>
  <c r="C18" i="3" s="1"/>
  <c r="C19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 s="1"/>
  <c r="C19" i="5"/>
  <c r="C20" i="5" s="1"/>
  <c r="C21" i="5" s="1"/>
  <c r="C22" i="5" s="1"/>
  <c r="C23" i="5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/>
  <c r="C19" i="7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/>
  <c r="C20" i="8" s="1"/>
  <c r="C21" i="8" s="1"/>
  <c r="C22" i="8" s="1"/>
  <c r="C23" i="8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K20" i="8"/>
  <c r="P23" i="17"/>
  <c r="C17" i="9"/>
  <c r="C18" i="9"/>
  <c r="C19" i="9"/>
  <c r="C20" i="9" s="1"/>
  <c r="C21" i="9" s="1"/>
  <c r="C22" i="9" s="1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/>
  <c r="P24" i="17"/>
  <c r="C17" i="10"/>
  <c r="C18" i="10"/>
  <c r="C19" i="10" s="1"/>
  <c r="C20" i="10" s="1"/>
  <c r="C21" i="10" s="1"/>
  <c r="C22" i="10"/>
  <c r="C23" i="10" s="1"/>
  <c r="C24" i="10" s="1"/>
  <c r="C25" i="10" s="1"/>
  <c r="C26" i="10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 s="1"/>
  <c r="C19" i="11" s="1"/>
  <c r="C20" i="11"/>
  <c r="C21" i="11" s="1"/>
  <c r="C22" i="11" s="1"/>
  <c r="C23" i="11" s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N21" i="9" s="1"/>
  <c r="O21" i="9" s="1"/>
  <c r="M22" i="10"/>
  <c r="M21" i="11"/>
  <c r="M18" i="22"/>
  <c r="N18" i="22"/>
  <c r="M17" i="23"/>
  <c r="N17" i="23" s="1"/>
  <c r="O17" i="23" s="1"/>
  <c r="F81" i="1"/>
  <c r="F86" i="1"/>
  <c r="F88" i="1" s="1"/>
  <c r="F89" i="1" s="1"/>
  <c r="F91" i="1" s="1"/>
  <c r="F92" i="1" s="1"/>
  <c r="F93" i="1" s="1"/>
  <c r="F90" i="1"/>
  <c r="P1" i="25"/>
  <c r="P83" i="25" s="1"/>
  <c r="I11" i="25"/>
  <c r="K11" i="25"/>
  <c r="L27" i="25"/>
  <c r="N27" i="25"/>
  <c r="L28" i="25"/>
  <c r="N28" i="25"/>
  <c r="O28" i="25" s="1"/>
  <c r="L29" i="25"/>
  <c r="N29" i="25"/>
  <c r="L30" i="25"/>
  <c r="N30" i="25"/>
  <c r="O30" i="25" s="1"/>
  <c r="L31" i="25"/>
  <c r="N31" i="25"/>
  <c r="L32" i="25"/>
  <c r="N32" i="25"/>
  <c r="L33" i="25"/>
  <c r="N33" i="25"/>
  <c r="L34" i="25"/>
  <c r="N34" i="25"/>
  <c r="O34" i="25" s="1"/>
  <c r="L35" i="25"/>
  <c r="N35" i="25"/>
  <c r="L36" i="25"/>
  <c r="N36" i="25"/>
  <c r="O36" i="25" s="1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O48" i="25" s="1"/>
  <c r="L49" i="25"/>
  <c r="N49" i="25"/>
  <c r="L50" i="25"/>
  <c r="N50" i="25"/>
  <c r="O50" i="25" s="1"/>
  <c r="L51" i="25"/>
  <c r="N51" i="25"/>
  <c r="L52" i="25"/>
  <c r="N52" i="25"/>
  <c r="L53" i="25"/>
  <c r="N53" i="25"/>
  <c r="L54" i="25"/>
  <c r="N54" i="25"/>
  <c r="O54" i="25" s="1"/>
  <c r="L55" i="25"/>
  <c r="N55" i="25"/>
  <c r="L56" i="25"/>
  <c r="N56" i="25"/>
  <c r="L57" i="25"/>
  <c r="N57" i="25"/>
  <c r="L58" i="25"/>
  <c r="N58" i="25"/>
  <c r="L59" i="25"/>
  <c r="N59" i="25"/>
  <c r="L60" i="25"/>
  <c r="N60" i="25"/>
  <c r="O60" i="25" s="1"/>
  <c r="L61" i="25"/>
  <c r="N61" i="25"/>
  <c r="L62" i="25"/>
  <c r="N62" i="25"/>
  <c r="O62" i="25" s="1"/>
  <c r="L63" i="25"/>
  <c r="N63" i="25"/>
  <c r="L64" i="25"/>
  <c r="N64" i="25"/>
  <c r="O64" i="25" s="1"/>
  <c r="L65" i="25"/>
  <c r="N65" i="25"/>
  <c r="L66" i="25"/>
  <c r="N66" i="25"/>
  <c r="L67" i="25"/>
  <c r="N67" i="25"/>
  <c r="L68" i="25"/>
  <c r="N68" i="25"/>
  <c r="O68" i="25" s="1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08" i="25"/>
  <c r="O108" i="25"/>
  <c r="M109" i="25"/>
  <c r="O109" i="25"/>
  <c r="M110" i="25"/>
  <c r="O110" i="25"/>
  <c r="M111" i="25"/>
  <c r="O111" i="25"/>
  <c r="M112" i="25"/>
  <c r="O112" i="25"/>
  <c r="M113" i="25"/>
  <c r="O113" i="25"/>
  <c r="M114" i="25"/>
  <c r="O114" i="25"/>
  <c r="M115" i="25"/>
  <c r="O115" i="25"/>
  <c r="M116" i="25"/>
  <c r="O116" i="25"/>
  <c r="M117" i="25"/>
  <c r="O117" i="25"/>
  <c r="M118" i="25"/>
  <c r="O118" i="25"/>
  <c r="M119" i="25"/>
  <c r="O119" i="25"/>
  <c r="M120" i="25"/>
  <c r="O120" i="25"/>
  <c r="M121" i="25"/>
  <c r="O121" i="25"/>
  <c r="M122" i="25"/>
  <c r="O122" i="25"/>
  <c r="M123" i="25"/>
  <c r="O123" i="25"/>
  <c r="M124" i="25"/>
  <c r="O124" i="25"/>
  <c r="M125" i="25"/>
  <c r="O125" i="25"/>
  <c r="M126" i="25"/>
  <c r="O126" i="25"/>
  <c r="M127" i="25"/>
  <c r="O127" i="25"/>
  <c r="M128" i="25"/>
  <c r="O128" i="25"/>
  <c r="M129" i="25"/>
  <c r="O129" i="25"/>
  <c r="M130" i="25"/>
  <c r="O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M102" i="11" s="1"/>
  <c r="N103" i="10"/>
  <c r="L103" i="10"/>
  <c r="N102" i="9"/>
  <c r="L102" i="9"/>
  <c r="M102" i="9" s="1"/>
  <c r="N101" i="8"/>
  <c r="L101" i="8"/>
  <c r="M101" i="8" s="1"/>
  <c r="N103" i="7"/>
  <c r="L103" i="7"/>
  <c r="M103" i="7" s="1"/>
  <c r="N101" i="6"/>
  <c r="L101" i="6"/>
  <c r="N100" i="5"/>
  <c r="L100" i="5"/>
  <c r="N100" i="4"/>
  <c r="L100" i="4"/>
  <c r="P1" i="24"/>
  <c r="P83" i="24" s="1"/>
  <c r="I11" i="24"/>
  <c r="K11" i="24"/>
  <c r="L17" i="24"/>
  <c r="L25" i="24"/>
  <c r="N25" i="24"/>
  <c r="L26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M106" i="24"/>
  <c r="O106" i="24"/>
  <c r="M107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O18" i="3" s="1"/>
  <c r="D10" i="3"/>
  <c r="K21" i="10"/>
  <c r="K18" i="3"/>
  <c r="K18" i="4"/>
  <c r="K18" i="5"/>
  <c r="K19" i="6"/>
  <c r="L19" i="6" s="1"/>
  <c r="K21" i="7"/>
  <c r="K19" i="8"/>
  <c r="L19" i="8" s="1"/>
  <c r="K20" i="9"/>
  <c r="L20" i="9" s="1"/>
  <c r="K20" i="11"/>
  <c r="K17" i="22"/>
  <c r="L17" i="22" s="1"/>
  <c r="W28" i="17"/>
  <c r="B19" i="23"/>
  <c r="I17" i="23"/>
  <c r="P1" i="23"/>
  <c r="P83" i="23" s="1"/>
  <c r="I11" i="23"/>
  <c r="K11" i="23"/>
  <c r="L17" i="23"/>
  <c r="B18" i="23"/>
  <c r="L18" i="23"/>
  <c r="L26" i="23"/>
  <c r="N26" i="23"/>
  <c r="L27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99" i="23"/>
  <c r="M107" i="23"/>
  <c r="O107" i="23"/>
  <c r="M108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21" i="10"/>
  <c r="N102" i="10"/>
  <c r="L102" i="10"/>
  <c r="M20" i="9"/>
  <c r="N20" i="9"/>
  <c r="O20" i="9" s="1"/>
  <c r="N101" i="9"/>
  <c r="L101" i="9"/>
  <c r="N100" i="8"/>
  <c r="O100" i="8" s="1"/>
  <c r="L100" i="8"/>
  <c r="M100" i="8" s="1"/>
  <c r="M19" i="8"/>
  <c r="N102" i="7"/>
  <c r="L102" i="7"/>
  <c r="M102" i="7" s="1"/>
  <c r="M21" i="7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I18" i="22"/>
  <c r="L18" i="22"/>
  <c r="L19" i="22"/>
  <c r="L27" i="22"/>
  <c r="N27" i="22"/>
  <c r="L28" i="22"/>
  <c r="N28" i="22"/>
  <c r="L29" i="22"/>
  <c r="N29" i="22"/>
  <c r="O29" i="22" s="1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O39" i="22" s="1"/>
  <c r="L40" i="22"/>
  <c r="N40" i="22"/>
  <c r="L41" i="22"/>
  <c r="N41" i="22"/>
  <c r="O41" i="22" s="1"/>
  <c r="L42" i="22"/>
  <c r="N42" i="22"/>
  <c r="L43" i="22"/>
  <c r="N43" i="22"/>
  <c r="L44" i="22"/>
  <c r="N44" i="22"/>
  <c r="L45" i="22"/>
  <c r="N45" i="22"/>
  <c r="L46" i="22"/>
  <c r="N46" i="22"/>
  <c r="L47" i="22"/>
  <c r="N47" i="22"/>
  <c r="O47" i="22" s="1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O59" i="22" s="1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O67" i="22" s="1"/>
  <c r="L68" i="22"/>
  <c r="N68" i="22"/>
  <c r="L69" i="22"/>
  <c r="N69" i="22"/>
  <c r="L70" i="22"/>
  <c r="N70" i="22"/>
  <c r="L71" i="22"/>
  <c r="N71" i="22"/>
  <c r="O71" i="22" s="1"/>
  <c r="L72" i="22"/>
  <c r="N72" i="22"/>
  <c r="D89" i="22"/>
  <c r="D91" i="22"/>
  <c r="J93" i="22"/>
  <c r="L93" i="22"/>
  <c r="D96" i="22"/>
  <c r="J99" i="22"/>
  <c r="M99" i="22"/>
  <c r="O99" i="22"/>
  <c r="M100" i="22"/>
  <c r="O100" i="22"/>
  <c r="M108" i="22"/>
  <c r="O108" i="22"/>
  <c r="M109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R12" i="17" s="1"/>
  <c r="W26" i="17"/>
  <c r="W25" i="17"/>
  <c r="W24" i="17"/>
  <c r="W23" i="17"/>
  <c r="W22" i="17"/>
  <c r="W21" i="17"/>
  <c r="W20" i="17"/>
  <c r="W19" i="17"/>
  <c r="W18" i="17"/>
  <c r="G12" i="17"/>
  <c r="T12" i="17" s="1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O19" i="13" s="1"/>
  <c r="L20" i="13"/>
  <c r="N20" i="13"/>
  <c r="L21" i="13"/>
  <c r="N21" i="13"/>
  <c r="O21" i="13" s="1"/>
  <c r="L22" i="13"/>
  <c r="N22" i="13"/>
  <c r="L23" i="13"/>
  <c r="N23" i="13"/>
  <c r="O23" i="13" s="1"/>
  <c r="L24" i="13"/>
  <c r="N24" i="13"/>
  <c r="L25" i="13"/>
  <c r="N25" i="13"/>
  <c r="O25" i="13" s="1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O35" i="13" s="1"/>
  <c r="L36" i="13"/>
  <c r="N36" i="13"/>
  <c r="L37" i="13"/>
  <c r="N37" i="13"/>
  <c r="L38" i="13"/>
  <c r="N38" i="13"/>
  <c r="L39" i="13"/>
  <c r="N39" i="13"/>
  <c r="L40" i="13"/>
  <c r="N40" i="13"/>
  <c r="L41" i="13"/>
  <c r="N41" i="13"/>
  <c r="O41" i="13" s="1"/>
  <c r="L42" i="13"/>
  <c r="N42" i="13"/>
  <c r="L43" i="13"/>
  <c r="N43" i="13"/>
  <c r="L44" i="13"/>
  <c r="N44" i="13"/>
  <c r="L45" i="13"/>
  <c r="N45" i="13"/>
  <c r="O45" i="13" s="1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O57" i="13" s="1"/>
  <c r="L58" i="13"/>
  <c r="N58" i="13"/>
  <c r="L59" i="13"/>
  <c r="N59" i="13"/>
  <c r="O59" i="13" s="1"/>
  <c r="L60" i="13"/>
  <c r="N60" i="13"/>
  <c r="L61" i="13"/>
  <c r="N61" i="13"/>
  <c r="O61" i="13" s="1"/>
  <c r="L62" i="13"/>
  <c r="N62" i="13"/>
  <c r="L63" i="13"/>
  <c r="N63" i="13"/>
  <c r="O63" i="13" s="1"/>
  <c r="L64" i="13"/>
  <c r="N64" i="13"/>
  <c r="L65" i="13"/>
  <c r="N65" i="13"/>
  <c r="O65" i="13" s="1"/>
  <c r="L66" i="13"/>
  <c r="N66" i="13"/>
  <c r="L67" i="13"/>
  <c r="N67" i="13"/>
  <c r="L68" i="13"/>
  <c r="N68" i="13"/>
  <c r="L69" i="13"/>
  <c r="N69" i="13"/>
  <c r="O69" i="13" s="1"/>
  <c r="L70" i="13"/>
  <c r="N70" i="13"/>
  <c r="L71" i="13"/>
  <c r="N71" i="13"/>
  <c r="O71" i="13" s="1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 s="1"/>
  <c r="I18" i="11"/>
  <c r="L18" i="11"/>
  <c r="N18" i="11"/>
  <c r="I19" i="11"/>
  <c r="L19" i="11"/>
  <c r="N19" i="11"/>
  <c r="I20" i="11"/>
  <c r="L20" i="11"/>
  <c r="N20" i="11"/>
  <c r="I21" i="11"/>
  <c r="N21" i="11"/>
  <c r="L22" i="11"/>
  <c r="L30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M101" i="11"/>
  <c r="J102" i="11"/>
  <c r="O102" i="11"/>
  <c r="O103" i="11"/>
  <c r="M111" i="11"/>
  <c r="O111" i="11"/>
  <c r="M112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O17" i="10" s="1"/>
  <c r="N17" i="10"/>
  <c r="I18" i="10"/>
  <c r="L18" i="10"/>
  <c r="O18" i="10" s="1"/>
  <c r="N18" i="10"/>
  <c r="I19" i="10"/>
  <c r="L19" i="10"/>
  <c r="O19" i="10" s="1"/>
  <c r="N19" i="10"/>
  <c r="I20" i="10"/>
  <c r="L20" i="10"/>
  <c r="O20" i="10" s="1"/>
  <c r="N20" i="10"/>
  <c r="I21" i="10"/>
  <c r="L21" i="10"/>
  <c r="I22" i="10"/>
  <c r="L22" i="10"/>
  <c r="N22" i="10"/>
  <c r="O22" i="10" s="1"/>
  <c r="L23" i="10"/>
  <c r="L31" i="10"/>
  <c r="N31" i="10"/>
  <c r="L32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P101" i="10" s="1"/>
  <c r="J102" i="10"/>
  <c r="M102" i="10"/>
  <c r="O102" i="10"/>
  <c r="J103" i="10"/>
  <c r="M103" i="10"/>
  <c r="O103" i="10"/>
  <c r="M104" i="10"/>
  <c r="O104" i="10"/>
  <c r="M112" i="10"/>
  <c r="O112" i="10"/>
  <c r="M113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O17" i="9"/>
  <c r="I18" i="9"/>
  <c r="L18" i="9"/>
  <c r="N18" i="9"/>
  <c r="O18" i="9"/>
  <c r="I19" i="9"/>
  <c r="L19" i="9"/>
  <c r="N19" i="9"/>
  <c r="O19" i="9"/>
  <c r="I21" i="9"/>
  <c r="L30" i="9"/>
  <c r="N30" i="9"/>
  <c r="L31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O38" i="9" s="1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O58" i="9" s="1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P101" i="9" s="1"/>
  <c r="J102" i="9"/>
  <c r="O102" i="9"/>
  <c r="P102" i="9" s="1"/>
  <c r="M103" i="9"/>
  <c r="O103" i="9"/>
  <c r="P103" i="9" s="1"/>
  <c r="M111" i="9"/>
  <c r="O111" i="9"/>
  <c r="M112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O17" i="8" s="1"/>
  <c r="N17" i="8"/>
  <c r="I18" i="8"/>
  <c r="L18" i="8"/>
  <c r="N18" i="8"/>
  <c r="O18" i="8" s="1"/>
  <c r="I19" i="8"/>
  <c r="N19" i="8"/>
  <c r="I20" i="8"/>
  <c r="L20" i="8"/>
  <c r="N20" i="8"/>
  <c r="O20" i="8" s="1"/>
  <c r="L21" i="8"/>
  <c r="L29" i="8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C53" i="8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/>
  <c r="C66" i="8" s="1"/>
  <c r="C67" i="8" s="1"/>
  <c r="C68" i="8" s="1"/>
  <c r="C69" i="8" s="1"/>
  <c r="C70" i="8" s="1"/>
  <c r="C71" i="8" s="1"/>
  <c r="C72" i="8" s="1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P99" i="8" s="1"/>
  <c r="O99" i="8"/>
  <c r="J100" i="8"/>
  <c r="J101" i="8"/>
  <c r="O101" i="8"/>
  <c r="P101" i="8" s="1"/>
  <c r="M102" i="8"/>
  <c r="O102" i="8"/>
  <c r="P102" i="8" s="1"/>
  <c r="M110" i="8"/>
  <c r="O110" i="8"/>
  <c r="M111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O17" i="7" s="1"/>
  <c r="I18" i="7"/>
  <c r="N18" i="7"/>
  <c r="I19" i="7"/>
  <c r="L19" i="7"/>
  <c r="N19" i="7"/>
  <c r="I20" i="7"/>
  <c r="L20" i="7"/>
  <c r="N20" i="7"/>
  <c r="I21" i="7"/>
  <c r="L21" i="7"/>
  <c r="N21" i="7"/>
  <c r="O21" i="7" s="1"/>
  <c r="I22" i="7"/>
  <c r="N22" i="7"/>
  <c r="L23" i="7"/>
  <c r="L31" i="7"/>
  <c r="O31" i="7" s="1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O39" i="7" s="1"/>
  <c r="N39" i="7"/>
  <c r="L40" i="7"/>
  <c r="N40" i="7"/>
  <c r="L41" i="7"/>
  <c r="N41" i="7"/>
  <c r="L42" i="7"/>
  <c r="N42" i="7"/>
  <c r="L43" i="7"/>
  <c r="N43" i="7"/>
  <c r="L44" i="7"/>
  <c r="N44" i="7"/>
  <c r="L45" i="7"/>
  <c r="O45" i="7" s="1"/>
  <c r="N45" i="7"/>
  <c r="L46" i="7"/>
  <c r="N46" i="7"/>
  <c r="L47" i="7"/>
  <c r="N47" i="7"/>
  <c r="L48" i="7"/>
  <c r="N48" i="7"/>
  <c r="L49" i="7"/>
  <c r="N49" i="7"/>
  <c r="L50" i="7"/>
  <c r="N50" i="7"/>
  <c r="L51" i="7"/>
  <c r="O51" i="7" s="1"/>
  <c r="N51" i="7"/>
  <c r="L52" i="7"/>
  <c r="N52" i="7"/>
  <c r="L53" i="7"/>
  <c r="N53" i="7"/>
  <c r="L54" i="7"/>
  <c r="N54" i="7"/>
  <c r="L55" i="7"/>
  <c r="N55" i="7"/>
  <c r="L56" i="7"/>
  <c r="N56" i="7"/>
  <c r="L57" i="7"/>
  <c r="O57" i="7" s="1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O65" i="7" s="1"/>
  <c r="N65" i="7"/>
  <c r="L66" i="7"/>
  <c r="N66" i="7"/>
  <c r="L67" i="7"/>
  <c r="N67" i="7"/>
  <c r="L68" i="7"/>
  <c r="N68" i="7"/>
  <c r="L69" i="7"/>
  <c r="O69" i="7" s="1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P100" i="7" s="1"/>
  <c r="J101" i="7"/>
  <c r="O101" i="7"/>
  <c r="P101" i="7" s="1"/>
  <c r="J102" i="7"/>
  <c r="O102" i="7"/>
  <c r="P102" i="7" s="1"/>
  <c r="J103" i="7"/>
  <c r="O103" i="7"/>
  <c r="P103" i="7" s="1"/>
  <c r="M104" i="7"/>
  <c r="M112" i="7"/>
  <c r="O112" i="7"/>
  <c r="M113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N19" i="6"/>
  <c r="O19" i="6" s="1"/>
  <c r="L20" i="6"/>
  <c r="N20" i="6"/>
  <c r="O20" i="6" s="1"/>
  <c r="L21" i="6"/>
  <c r="L29" i="6"/>
  <c r="N29" i="6"/>
  <c r="L30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O39" i="6" s="1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O47" i="6" s="1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O67" i="6" s="1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P101" i="6" s="1"/>
  <c r="M102" i="6"/>
  <c r="O102" i="6"/>
  <c r="P102" i="6"/>
  <c r="M110" i="6"/>
  <c r="O110" i="6"/>
  <c r="M111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O17" i="5" s="1"/>
  <c r="I18" i="5"/>
  <c r="L18" i="5"/>
  <c r="N18" i="5"/>
  <c r="O18" i="5" s="1"/>
  <c r="I19" i="5"/>
  <c r="L19" i="5"/>
  <c r="N19" i="5"/>
  <c r="O19" i="5" s="1"/>
  <c r="L20" i="5"/>
  <c r="L28" i="5"/>
  <c r="N28" i="5"/>
  <c r="L29" i="5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J100" i="5"/>
  <c r="M100" i="5"/>
  <c r="O100" i="5"/>
  <c r="M101" i="5"/>
  <c r="O101" i="5"/>
  <c r="P101" i="5"/>
  <c r="M109" i="5"/>
  <c r="O109" i="5"/>
  <c r="M110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O18" i="4"/>
  <c r="I19" i="4"/>
  <c r="L19" i="4"/>
  <c r="N19" i="4"/>
  <c r="O19" i="4"/>
  <c r="L20" i="4"/>
  <c r="L28" i="4"/>
  <c r="N28" i="4"/>
  <c r="L29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O55" i="4" s="1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O71" i="4" s="1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P100" i="4" s="1"/>
  <c r="M101" i="4"/>
  <c r="O101" i="4"/>
  <c r="P101" i="4"/>
  <c r="O105" i="4"/>
  <c r="P105" i="4"/>
  <c r="M109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O17" i="3" s="1"/>
  <c r="L18" i="3"/>
  <c r="N19" i="3"/>
  <c r="L20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O34" i="3" s="1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O62" i="3" s="1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P99" i="3" s="1"/>
  <c r="O99" i="3"/>
  <c r="J100" i="3"/>
  <c r="M100" i="3"/>
  <c r="O100" i="3"/>
  <c r="P100" i="3" s="1"/>
  <c r="M101" i="3"/>
  <c r="O101" i="3"/>
  <c r="P101" i="3"/>
  <c r="M109" i="3"/>
  <c r="O109" i="3"/>
  <c r="M110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F14" i="2" s="1"/>
  <c r="E19" i="2" s="1"/>
  <c r="D17" i="2"/>
  <c r="F17" i="2" s="1"/>
  <c r="E17" i="2"/>
  <c r="D18" i="2"/>
  <c r="E18" i="2"/>
  <c r="F18" i="2" s="1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F17" i="1" s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C51" i="27"/>
  <c r="C52" i="27" s="1"/>
  <c r="C53" i="27" s="1"/>
  <c r="C54" i="27" s="1"/>
  <c r="C55" i="27"/>
  <c r="C56" i="27" s="1"/>
  <c r="C57" i="27" s="1"/>
  <c r="C58" i="27" s="1"/>
  <c r="C59" i="27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B18" i="25"/>
  <c r="P99" i="23"/>
  <c r="O18" i="23"/>
  <c r="P100" i="22"/>
  <c r="B104" i="11"/>
  <c r="P104" i="10"/>
  <c r="B24" i="10"/>
  <c r="B104" i="9"/>
  <c r="B23" i="9"/>
  <c r="B102" i="5"/>
  <c r="O20" i="5"/>
  <c r="O20" i="4"/>
  <c r="B102" i="3"/>
  <c r="B21" i="3"/>
  <c r="O19" i="25"/>
  <c r="O18" i="25"/>
  <c r="B19" i="25"/>
  <c r="B20" i="25"/>
  <c r="C48" i="25"/>
  <c r="C49" i="25" s="1"/>
  <c r="C50" i="25" s="1"/>
  <c r="C51" i="25" s="1"/>
  <c r="C52" i="25"/>
  <c r="C53" i="25" s="1"/>
  <c r="C54" i="25" s="1"/>
  <c r="C55" i="25" s="1"/>
  <c r="C56" i="25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I18" i="25"/>
  <c r="C99" i="27"/>
  <c r="C100" i="27"/>
  <c r="C101" i="27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47" i="29"/>
  <c r="C48" i="29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100" i="28"/>
  <c r="C101" i="28" s="1"/>
  <c r="C102" i="28" s="1"/>
  <c r="C103" i="28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0" i="23"/>
  <c r="P101" i="22"/>
  <c r="O20" i="22"/>
  <c r="P104" i="11"/>
  <c r="P105" i="10"/>
  <c r="O24" i="10"/>
  <c r="B25" i="10"/>
  <c r="B24" i="9"/>
  <c r="P103" i="8"/>
  <c r="B23" i="8"/>
  <c r="P105" i="7"/>
  <c r="B104" i="6"/>
  <c r="O22" i="6"/>
  <c r="B22" i="5"/>
  <c r="O21" i="4"/>
  <c r="P102" i="3"/>
  <c r="M18" i="24"/>
  <c r="N18" i="24" s="1"/>
  <c r="B100" i="24"/>
  <c r="N99" i="24"/>
  <c r="O99" i="24" s="1"/>
  <c r="P99" i="24" s="1"/>
  <c r="L99" i="24"/>
  <c r="M99" i="24"/>
  <c r="J99" i="24"/>
  <c r="D8" i="23"/>
  <c r="D90" i="23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/>
  <c r="C56" i="3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E13" i="17"/>
  <c r="H3" i="17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O18" i="31"/>
  <c r="P99" i="29"/>
  <c r="B100" i="29"/>
  <c r="B19" i="29"/>
  <c r="O18" i="28"/>
  <c r="O22" i="25"/>
  <c r="P101" i="24"/>
  <c r="O21" i="23"/>
  <c r="P102" i="23"/>
  <c r="P103" i="22"/>
  <c r="O22" i="22"/>
  <c r="P106" i="11"/>
  <c r="O25" i="11"/>
  <c r="B108" i="10"/>
  <c r="P107" i="10"/>
  <c r="O26" i="10"/>
  <c r="O25" i="9"/>
  <c r="B26" i="9"/>
  <c r="P105" i="8"/>
  <c r="P107" i="7"/>
  <c r="O26" i="7"/>
  <c r="B27" i="7"/>
  <c r="P105" i="6"/>
  <c r="B106" i="6"/>
  <c r="O24" i="6"/>
  <c r="P104" i="5"/>
  <c r="O23" i="5"/>
  <c r="P104" i="4"/>
  <c r="O23" i="4"/>
  <c r="B24" i="4"/>
  <c r="B105" i="3"/>
  <c r="K18" i="27"/>
  <c r="B103" i="23"/>
  <c r="B100" i="27"/>
  <c r="B19" i="27"/>
  <c r="L18" i="27"/>
  <c r="I18" i="27"/>
  <c r="M18" i="27"/>
  <c r="N18" i="27"/>
  <c r="O18" i="27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/>
  <c r="B28" i="7"/>
  <c r="P99" i="30"/>
  <c r="C99" i="13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12" i="37"/>
  <c r="I13" i="37" s="1"/>
  <c r="I12" i="24"/>
  <c r="I24" i="25"/>
  <c r="I12" i="40"/>
  <c r="I13" i="40" s="1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18" i="41"/>
  <c r="C19" i="41"/>
  <c r="C20" i="41" s="1"/>
  <c r="C21" i="41" s="1"/>
  <c r="C22" i="41" s="1"/>
  <c r="C23" i="41"/>
  <c r="C24" i="41" s="1"/>
  <c r="C25" i="41" s="1"/>
  <c r="C26" i="41" s="1"/>
  <c r="C27" i="4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P100" i="30"/>
  <c r="O53" i="28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/>
  <c r="C39" i="42" s="1"/>
  <c r="C40" i="42" s="1"/>
  <c r="C41" i="42" s="1"/>
  <c r="C42" i="42" s="1"/>
  <c r="C43" i="42" s="1"/>
  <c r="C44" i="42" s="1"/>
  <c r="C100" i="42"/>
  <c r="C101" i="42"/>
  <c r="C102" i="42" s="1"/>
  <c r="C103" i="42" s="1"/>
  <c r="C104" i="42" s="1"/>
  <c r="C105" i="42"/>
  <c r="C106" i="42" s="1"/>
  <c r="C107" i="42" s="1"/>
  <c r="C108" i="42" s="1"/>
  <c r="C109" i="42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/>
  <c r="C103" i="41" s="1"/>
  <c r="C104" i="41" s="1"/>
  <c r="C105" i="41" s="1"/>
  <c r="C106" i="41"/>
  <c r="C107" i="41" s="1"/>
  <c r="C108" i="41" s="1"/>
  <c r="C109" i="41" s="1"/>
  <c r="C110" i="4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O52" i="30"/>
  <c r="O46" i="13"/>
  <c r="O50" i="29"/>
  <c r="O54" i="37"/>
  <c r="O32" i="37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27"/>
  <c r="I10" i="8"/>
  <c r="I10" i="41"/>
  <c r="I10" i="22"/>
  <c r="D94" i="22" s="1"/>
  <c r="I10" i="6"/>
  <c r="D93" i="6" s="1"/>
  <c r="I10" i="37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I10" i="38"/>
  <c r="I10" i="30"/>
  <c r="D93" i="30" s="1"/>
  <c r="C99" i="30" s="1"/>
  <c r="I10" i="9"/>
  <c r="I10" i="13"/>
  <c r="B108" i="6"/>
  <c r="B21" i="31"/>
  <c r="I20" i="31"/>
  <c r="J101" i="31"/>
  <c r="B102" i="31"/>
  <c r="J92" i="41"/>
  <c r="L86" i="41" s="1"/>
  <c r="C76" i="2"/>
  <c r="C61" i="2"/>
  <c r="J94" i="31"/>
  <c r="J95" i="31" s="1"/>
  <c r="J94" i="22"/>
  <c r="J95" i="22" s="1"/>
  <c r="J94" i="37"/>
  <c r="J95" i="37" s="1"/>
  <c r="J94" i="5"/>
  <c r="J95" i="5" s="1"/>
  <c r="J94" i="23"/>
  <c r="J95" i="23" s="1"/>
  <c r="J94" i="41"/>
  <c r="J95" i="41" s="1"/>
  <c r="J94" i="24"/>
  <c r="J95" i="24" s="1"/>
  <c r="J94" i="10"/>
  <c r="J95" i="10" s="1"/>
  <c r="J94" i="29"/>
  <c r="J95" i="29" s="1"/>
  <c r="J94" i="39"/>
  <c r="J95" i="39" s="1"/>
  <c r="J94" i="42"/>
  <c r="J95" i="42" s="1"/>
  <c r="J94" i="40"/>
  <c r="J95" i="40" s="1"/>
  <c r="C59" i="1"/>
  <c r="C77" i="1"/>
  <c r="D94" i="13"/>
  <c r="D92" i="13"/>
  <c r="E99" i="13" s="1"/>
  <c r="F99" i="13" s="1"/>
  <c r="G99" i="13" s="1"/>
  <c r="D94" i="23"/>
  <c r="D93" i="37"/>
  <c r="C99" i="37" s="1"/>
  <c r="C100" i="37" s="1"/>
  <c r="C101" i="37" s="1"/>
  <c r="C102" i="37" s="1"/>
  <c r="C103" i="37" s="1"/>
  <c r="C104" i="37" s="1"/>
  <c r="O31" i="9"/>
  <c r="O54" i="13"/>
  <c r="O64" i="23"/>
  <c r="B109" i="6"/>
  <c r="B110" i="11"/>
  <c r="O26" i="6"/>
  <c r="L20" i="31"/>
  <c r="O20" i="31"/>
  <c r="B18" i="38"/>
  <c r="I17" i="38"/>
  <c r="D94" i="5"/>
  <c r="D93" i="3"/>
  <c r="C99" i="3" s="1"/>
  <c r="D94" i="6"/>
  <c r="I13" i="24"/>
  <c r="F18" i="1"/>
  <c r="I12" i="42"/>
  <c r="I13" i="42" s="1"/>
  <c r="I12" i="4"/>
  <c r="I13" i="4" s="1"/>
  <c r="I12" i="10"/>
  <c r="I13" i="10" s="1"/>
  <c r="I12" i="29"/>
  <c r="I13" i="29" s="1"/>
  <c r="I12" i="25"/>
  <c r="I13" i="25" s="1"/>
  <c r="I12" i="6"/>
  <c r="I13" i="6" s="1"/>
  <c r="I12" i="11"/>
  <c r="I13" i="11" s="1"/>
  <c r="I12" i="30"/>
  <c r="I13" i="30" s="1"/>
  <c r="I12" i="3"/>
  <c r="I13" i="3" s="1"/>
  <c r="I12" i="9"/>
  <c r="I13" i="9" s="1"/>
  <c r="I12" i="5"/>
  <c r="I13" i="5" s="1"/>
  <c r="I12" i="8"/>
  <c r="I13" i="8" s="1"/>
  <c r="I12" i="28"/>
  <c r="I13" i="28" s="1"/>
  <c r="I12" i="41"/>
  <c r="I13" i="41" s="1"/>
  <c r="I12" i="23"/>
  <c r="I13" i="23" s="1"/>
  <c r="I12" i="22"/>
  <c r="I13" i="22" s="1"/>
  <c r="I12" i="13"/>
  <c r="I12" i="7"/>
  <c r="I13" i="7" s="1"/>
  <c r="I12" i="27"/>
  <c r="I13" i="27" s="1"/>
  <c r="I12" i="31"/>
  <c r="I13" i="31" s="1"/>
  <c r="I12" i="38"/>
  <c r="I13" i="38" s="1"/>
  <c r="I12" i="39"/>
  <c r="I13" i="39" s="1"/>
  <c r="O50" i="23"/>
  <c r="O29" i="5"/>
  <c r="O50" i="13"/>
  <c r="O43" i="27"/>
  <c r="B108" i="5"/>
  <c r="I13" i="13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O67" i="45"/>
  <c r="O25" i="44"/>
  <c r="O57" i="44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O60" i="40"/>
  <c r="O45" i="40"/>
  <c r="O17" i="40"/>
  <c r="P99" i="39"/>
  <c r="O18" i="39"/>
  <c r="O67" i="39"/>
  <c r="B19" i="38"/>
  <c r="P99" i="37"/>
  <c r="O22" i="37"/>
  <c r="O24" i="37"/>
  <c r="O26" i="37"/>
  <c r="O30" i="37"/>
  <c r="O36" i="37"/>
  <c r="O38" i="37"/>
  <c r="O56" i="37"/>
  <c r="O58" i="37"/>
  <c r="O17" i="37"/>
  <c r="O70" i="37"/>
  <c r="O52" i="37"/>
  <c r="O62" i="37"/>
  <c r="O66" i="37"/>
  <c r="O68" i="37"/>
  <c r="O34" i="37"/>
  <c r="O20" i="37"/>
  <c r="O50" i="37"/>
  <c r="O28" i="37"/>
  <c r="O55" i="31"/>
  <c r="O51" i="31"/>
  <c r="O52" i="29"/>
  <c r="O56" i="29"/>
  <c r="O34" i="29"/>
  <c r="O40" i="29"/>
  <c r="O64" i="29"/>
  <c r="B103" i="28"/>
  <c r="O57" i="28"/>
  <c r="O71" i="28"/>
  <c r="B22" i="28"/>
  <c r="O59" i="27"/>
  <c r="O23" i="27"/>
  <c r="O33" i="27"/>
  <c r="O72" i="25"/>
  <c r="O56" i="25"/>
  <c r="O44" i="25"/>
  <c r="O37" i="24"/>
  <c r="O61" i="24"/>
  <c r="O71" i="24"/>
  <c r="O42" i="23"/>
  <c r="O70" i="23"/>
  <c r="O33" i="23"/>
  <c r="O60" i="23"/>
  <c r="O52" i="23"/>
  <c r="O46" i="23"/>
  <c r="O43" i="22"/>
  <c r="O37" i="22"/>
  <c r="O69" i="11"/>
  <c r="O53" i="9"/>
  <c r="B109" i="8"/>
  <c r="O58" i="8"/>
  <c r="O62" i="8"/>
  <c r="O49" i="7"/>
  <c r="O28" i="5"/>
  <c r="O40" i="5"/>
  <c r="O38" i="5"/>
  <c r="B27" i="3"/>
  <c r="C45" i="13"/>
  <c r="C46" i="13" s="1"/>
  <c r="C47" i="13" s="1"/>
  <c r="C48" i="13" s="1"/>
  <c r="C49" i="13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/>
  <c r="C66" i="13" s="1"/>
  <c r="C67" i="13" s="1"/>
  <c r="C68" i="13" s="1"/>
  <c r="C69" i="13" s="1"/>
  <c r="C70" i="13" s="1"/>
  <c r="C71" i="13" s="1"/>
  <c r="C72" i="13" s="1"/>
  <c r="B101" i="30"/>
  <c r="O23" i="7"/>
  <c r="B104" i="27"/>
  <c r="C45" i="4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45" i="3"/>
  <c r="C46" i="3" s="1"/>
  <c r="C47" i="3" s="1"/>
  <c r="C48" i="3" s="1"/>
  <c r="C49" i="3" s="1"/>
  <c r="C50" i="3" s="1"/>
  <c r="C51" i="3" s="1"/>
  <c r="C52" i="3" s="1"/>
  <c r="C53" i="3"/>
  <c r="C54" i="3" s="1"/>
  <c r="C55" i="3" s="1"/>
  <c r="C56" i="3" s="1"/>
  <c r="C57" i="3" s="1"/>
  <c r="C58" i="3" s="1"/>
  <c r="C59" i="3" s="1"/>
  <c r="C60" i="3" s="1"/>
  <c r="C61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O19" i="3"/>
  <c r="O21" i="11"/>
  <c r="P103" i="11"/>
  <c r="P101" i="11"/>
  <c r="C100" i="24"/>
  <c r="C101" i="24"/>
  <c r="C102" i="24" s="1"/>
  <c r="C103" i="24" s="1"/>
  <c r="C104" i="24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D99" i="24"/>
  <c r="P99" i="4"/>
  <c r="P100" i="6"/>
  <c r="P104" i="7"/>
  <c r="P99" i="7"/>
  <c r="O20" i="7"/>
  <c r="P103" i="10"/>
  <c r="P99" i="10"/>
  <c r="O18" i="22"/>
  <c r="P99" i="5"/>
  <c r="O48" i="5"/>
  <c r="O22" i="7"/>
  <c r="P102" i="11"/>
  <c r="O21" i="10"/>
  <c r="O36" i="29"/>
  <c r="O17" i="4"/>
  <c r="P100" i="5"/>
  <c r="O55" i="7"/>
  <c r="O19" i="7"/>
  <c r="P100" i="11"/>
  <c r="O37" i="11"/>
  <c r="O20" i="11"/>
  <c r="P99" i="22"/>
  <c r="O22" i="4"/>
  <c r="O23" i="6"/>
  <c r="P100" i="24"/>
  <c r="O17" i="28"/>
  <c r="O27" i="7"/>
  <c r="P102" i="10"/>
  <c r="P99" i="11"/>
  <c r="O19" i="11"/>
  <c r="O31" i="22"/>
  <c r="O58" i="23"/>
  <c r="O54" i="23"/>
  <c r="P99" i="25"/>
  <c r="P100" i="25"/>
  <c r="P106" i="7"/>
  <c r="O24" i="9"/>
  <c r="O25" i="10"/>
  <c r="P99" i="27"/>
  <c r="P103" i="6"/>
  <c r="O39" i="28"/>
  <c r="O26" i="29"/>
  <c r="P103" i="5"/>
  <c r="O37" i="31"/>
  <c r="P99" i="28"/>
  <c r="O24" i="4"/>
  <c r="O27" i="9"/>
  <c r="O54" i="40"/>
  <c r="P107" i="8"/>
  <c r="O27" i="11"/>
  <c r="O23" i="23"/>
  <c r="O20" i="28"/>
  <c r="P101" i="29"/>
  <c r="O51" i="42"/>
  <c r="P109" i="10"/>
  <c r="P105" i="22"/>
  <c r="P103" i="24"/>
  <c r="P102" i="27"/>
  <c r="P103" i="23"/>
  <c r="O19" i="29"/>
  <c r="C139" i="24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O31" i="39"/>
  <c r="O35" i="39"/>
  <c r="O45" i="39"/>
  <c r="C45" i="38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O38" i="38"/>
  <c r="C99" i="6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D94" i="29"/>
  <c r="I10" i="44"/>
  <c r="I10" i="46"/>
  <c r="I10" i="43"/>
  <c r="O54" i="17"/>
  <c r="D54" i="17"/>
  <c r="N54" i="17"/>
  <c r="F54" i="17"/>
  <c r="C54" i="17"/>
  <c r="E54" i="17"/>
  <c r="J92" i="25" l="1"/>
  <c r="M87" i="25" s="1"/>
  <c r="J92" i="10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F17" i="46"/>
  <c r="D18" i="46" s="1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47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D18" i="44"/>
  <c r="B18" i="44" s="1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M87" i="23"/>
  <c r="P129" i="4"/>
  <c r="P113" i="4"/>
  <c r="C82" i="2"/>
  <c r="C59" i="2"/>
  <c r="C14" i="2"/>
  <c r="C39" i="2"/>
  <c r="C77" i="2"/>
  <c r="C80" i="2"/>
  <c r="N87" i="42"/>
  <c r="C28" i="2"/>
  <c r="C62" i="2"/>
  <c r="C10" i="2"/>
  <c r="C56" i="2"/>
  <c r="C8" i="2"/>
  <c r="C55" i="2"/>
  <c r="C73" i="2"/>
  <c r="L86" i="25"/>
  <c r="C50" i="2"/>
  <c r="C22" i="2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N87" i="25"/>
  <c r="O87" i="25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D18" i="45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H17" i="13" s="1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E18" i="44"/>
  <c r="F18" i="44" s="1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D13" i="27"/>
  <c r="I14" i="27" s="1"/>
  <c r="D13" i="10"/>
  <c r="I14" i="10" s="1"/>
  <c r="D13" i="37"/>
  <c r="I14" i="37" s="1"/>
  <c r="D13" i="9"/>
  <c r="I14" i="9" s="1"/>
  <c r="O35" i="8"/>
  <c r="E99" i="44"/>
  <c r="F99" i="44" s="1"/>
  <c r="G99" i="44" s="1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18" i="45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N87" i="23"/>
  <c r="N87" i="13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M87" i="5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D92" i="46"/>
  <c r="E99" i="46" s="1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N87" i="1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M87" i="40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E18" i="46"/>
  <c r="B18" i="46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F20" i="1"/>
  <c r="D93" i="29"/>
  <c r="C99" i="3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N87" i="10"/>
  <c r="L86" i="10"/>
  <c r="M87" i="10"/>
  <c r="D94" i="9"/>
  <c r="D93" i="9"/>
  <c r="D94" i="8"/>
  <c r="D93" i="8"/>
  <c r="D93" i="7"/>
  <c r="D94" i="7"/>
  <c r="O18" i="24"/>
  <c r="O19" i="8"/>
  <c r="B28" i="8"/>
  <c r="B26" i="22"/>
  <c r="D13" i="46"/>
  <c r="D13" i="45"/>
  <c r="D13" i="44"/>
  <c r="D13" i="43"/>
  <c r="I14" i="43" s="1"/>
  <c r="D13" i="8"/>
  <c r="I14" i="8" s="1"/>
  <c r="D13" i="4"/>
  <c r="I14" i="4" s="1"/>
  <c r="D13" i="30"/>
  <c r="I14" i="30" s="1"/>
  <c r="D13" i="6"/>
  <c r="I14" i="6" s="1"/>
  <c r="D13" i="39"/>
  <c r="I14" i="39" s="1"/>
  <c r="D13" i="28"/>
  <c r="I14" i="28" s="1"/>
  <c r="D13" i="7"/>
  <c r="I14" i="7" s="1"/>
  <c r="D13" i="5"/>
  <c r="I14" i="5" s="1"/>
  <c r="D13" i="13"/>
  <c r="D13" i="22"/>
  <c r="I14" i="22" s="1"/>
  <c r="D13" i="3"/>
  <c r="I14" i="3" s="1"/>
  <c r="D13" i="42"/>
  <c r="I14" i="42" s="1"/>
  <c r="D13" i="24"/>
  <c r="I14" i="24" s="1"/>
  <c r="D13" i="23"/>
  <c r="I14" i="23" s="1"/>
  <c r="D13" i="38"/>
  <c r="I14" i="38" s="1"/>
  <c r="D13" i="40"/>
  <c r="I14" i="40" s="1"/>
  <c r="D13" i="41"/>
  <c r="I14" i="41" s="1"/>
  <c r="D13" i="29"/>
  <c r="I14" i="29" s="1"/>
  <c r="D13" i="11"/>
  <c r="I14" i="11" s="1"/>
  <c r="D13" i="25"/>
  <c r="I14" i="25" s="1"/>
  <c r="D13" i="31"/>
  <c r="I14" i="31" s="1"/>
  <c r="O59" i="3"/>
  <c r="O49" i="3"/>
  <c r="O49" i="4"/>
  <c r="F19" i="2"/>
  <c r="F20" i="2" s="1"/>
  <c r="O20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N87" i="4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5"/>
  <c r="P108" i="25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9"/>
  <c r="N87" i="28"/>
  <c r="L86" i="28"/>
  <c r="M87" i="45"/>
  <c r="N87" i="3"/>
  <c r="L86" i="45"/>
  <c r="M87" i="28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13" i="25"/>
  <c r="P111" i="25"/>
  <c r="P109" i="25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D20" i="17"/>
  <c r="D36" i="17"/>
  <c r="C23" i="17"/>
  <c r="D40" i="17"/>
  <c r="C18" i="17"/>
  <c r="D19" i="17"/>
  <c r="D26" i="17"/>
  <c r="C30" i="17"/>
  <c r="C39" i="17"/>
  <c r="D29" i="17"/>
  <c r="C32" i="17"/>
  <c r="C19" i="17"/>
  <c r="C27" i="17"/>
  <c r="C35" i="17"/>
  <c r="C29" i="17"/>
  <c r="C33" i="17"/>
  <c r="C26" i="17"/>
  <c r="D44" i="17"/>
  <c r="D43" i="17"/>
  <c r="C20" i="17"/>
  <c r="D32" i="17"/>
  <c r="C36" i="17"/>
  <c r="C44" i="17"/>
  <c r="D37" i="17"/>
  <c r="C38" i="17"/>
  <c r="C37" i="17"/>
  <c r="C28" i="17"/>
  <c r="M87" i="31" l="1"/>
  <c r="N87" i="22"/>
  <c r="O87" i="22" s="1"/>
  <c r="L86" i="3"/>
  <c r="N87" i="31"/>
  <c r="O87" i="31" s="1"/>
  <c r="M87" i="42"/>
  <c r="L86" i="39"/>
  <c r="M87" i="8"/>
  <c r="N87" i="8"/>
  <c r="M87" i="29"/>
  <c r="N87" i="29"/>
  <c r="L86" i="22"/>
  <c r="M87" i="13"/>
  <c r="O87" i="13" s="1"/>
  <c r="L86" i="44"/>
  <c r="M87" i="7"/>
  <c r="N87" i="5"/>
  <c r="O87" i="5" s="1"/>
  <c r="N87" i="27"/>
  <c r="O87" i="27" s="1"/>
  <c r="M87" i="27"/>
  <c r="N87" i="24"/>
  <c r="N87" i="30"/>
  <c r="O87" i="30" s="1"/>
  <c r="N87" i="40"/>
  <c r="O87" i="40" s="1"/>
  <c r="M87" i="44"/>
  <c r="N87" i="7"/>
  <c r="M87" i="43"/>
  <c r="O87" i="43" s="1"/>
  <c r="M87" i="24"/>
  <c r="O87" i="24" s="1"/>
  <c r="L86" i="43"/>
  <c r="M87" i="30"/>
  <c r="M87" i="39"/>
  <c r="O87" i="39" s="1"/>
  <c r="L86" i="9"/>
  <c r="O87" i="23"/>
  <c r="N87" i="38"/>
  <c r="M87" i="38"/>
  <c r="M87" i="6"/>
  <c r="N87" i="6"/>
  <c r="L86" i="11"/>
  <c r="O87" i="44"/>
  <c r="M87" i="37"/>
  <c r="M87" i="4"/>
  <c r="O87" i="29"/>
  <c r="O87" i="8"/>
  <c r="O87" i="42"/>
  <c r="I99" i="44"/>
  <c r="D100" i="44"/>
  <c r="B100" i="44" s="1"/>
  <c r="E100" i="13"/>
  <c r="F100" i="13" s="1"/>
  <c r="D101" i="13" s="1"/>
  <c r="E101" i="13" s="1"/>
  <c r="D19" i="44"/>
  <c r="B19" i="44" s="1"/>
  <c r="D18" i="13"/>
  <c r="G17" i="13"/>
  <c r="I17" i="13" s="1"/>
  <c r="B18" i="45"/>
  <c r="E99" i="45"/>
  <c r="F99" i="45" s="1"/>
  <c r="E18" i="45"/>
  <c r="F18" i="45" s="1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O87" i="4"/>
  <c r="E19" i="27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9"/>
  <c r="H99" i="44"/>
  <c r="O87" i="11"/>
  <c r="O87" i="37"/>
  <c r="M87" i="46"/>
  <c r="N87" i="46"/>
  <c r="L86" i="46"/>
  <c r="O87" i="10"/>
  <c r="O87" i="41"/>
  <c r="E25" i="2"/>
  <c r="E26" i="2" s="1"/>
  <c r="E30" i="2" s="1"/>
  <c r="E32" i="2"/>
  <c r="E32" i="1"/>
  <c r="E25" i="1"/>
  <c r="E26" i="1" s="1"/>
  <c r="D31" i="10"/>
  <c r="E31" i="10"/>
  <c r="F18" i="46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G18" i="44"/>
  <c r="I13" i="45"/>
  <c r="D20" i="37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O87" i="7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H17" i="46" s="1"/>
  <c r="N6" i="46" s="1"/>
  <c r="G17" i="46"/>
  <c r="N5" i="46" s="1"/>
  <c r="E20" i="37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6" i="46"/>
  <c r="F99" i="46"/>
  <c r="J95" i="43"/>
  <c r="J95" i="38"/>
  <c r="O87" i="3"/>
  <c r="J95" i="13"/>
  <c r="I99" i="13" s="1"/>
  <c r="H99" i="13"/>
  <c r="O87" i="28"/>
  <c r="C31" i="17"/>
  <c r="C43" i="17"/>
  <c r="D34" i="17"/>
  <c r="D30" i="17"/>
  <c r="D21" i="17"/>
  <c r="D24" i="17"/>
  <c r="D31" i="17"/>
  <c r="D41" i="17"/>
  <c r="C42" i="17"/>
  <c r="C25" i="17"/>
  <c r="D18" i="17"/>
  <c r="C41" i="17"/>
  <c r="C21" i="17"/>
  <c r="D25" i="17"/>
  <c r="C22" i="17"/>
  <c r="D27" i="17"/>
  <c r="D38" i="17"/>
  <c r="D33" i="17"/>
  <c r="C40" i="17"/>
  <c r="D35" i="17"/>
  <c r="D39" i="17"/>
  <c r="C24" i="17"/>
  <c r="D28" i="17"/>
  <c r="D22" i="17"/>
  <c r="D42" i="17"/>
  <c r="D23" i="17"/>
  <c r="C34" i="17"/>
  <c r="O87" i="6" l="1"/>
  <c r="O87" i="38"/>
  <c r="N17" i="2"/>
  <c r="R132" i="2" s="1"/>
  <c r="J99" i="44"/>
  <c r="B101" i="13"/>
  <c r="F101" i="13"/>
  <c r="G101" i="13" s="1"/>
  <c r="E33" i="2"/>
  <c r="E37" i="2" s="1"/>
  <c r="F54" i="2" s="1"/>
  <c r="F53" i="2"/>
  <c r="O17" i="2"/>
  <c r="R133" i="2" s="1"/>
  <c r="G100" i="13"/>
  <c r="H100" i="13" s="1"/>
  <c r="E19" i="44"/>
  <c r="F19" i="44" s="1"/>
  <c r="H19" i="44" s="1"/>
  <c r="D19" i="45"/>
  <c r="B19" i="45" s="1"/>
  <c r="G18" i="45"/>
  <c r="G99" i="45"/>
  <c r="D100" i="45"/>
  <c r="B18" i="13"/>
  <c r="E18" i="13"/>
  <c r="F18" i="13" s="1"/>
  <c r="D19" i="13" s="1"/>
  <c r="B23" i="27"/>
  <c r="D99" i="7"/>
  <c r="O87" i="46"/>
  <c r="O87" i="45"/>
  <c r="F20" i="37"/>
  <c r="H20" i="37" s="1"/>
  <c r="B20" i="37"/>
  <c r="I17" i="46"/>
  <c r="I19" i="37"/>
  <c r="N6" i="37"/>
  <c r="H18" i="45"/>
  <c r="D30" i="9"/>
  <c r="E30" i="9"/>
  <c r="D100" i="46"/>
  <c r="B100" i="46" s="1"/>
  <c r="G99" i="46"/>
  <c r="N5" i="37"/>
  <c r="N5" i="10"/>
  <c r="F31" i="10"/>
  <c r="B31" i="10"/>
  <c r="I30" i="10"/>
  <c r="N6" i="10"/>
  <c r="E30" i="1"/>
  <c r="E33" i="1" s="1"/>
  <c r="F54" i="1" s="1"/>
  <c r="F53" i="1"/>
  <c r="H18" i="44"/>
  <c r="I18" i="44" s="1"/>
  <c r="D19" i="46"/>
  <c r="E19" i="46" s="1"/>
  <c r="G18" i="46"/>
  <c r="H18" i="46"/>
  <c r="J99" i="13"/>
  <c r="N29" i="2" l="1"/>
  <c r="I18" i="45"/>
  <c r="P17" i="2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D20" i="44"/>
  <c r="G19" i="44"/>
  <c r="E19" i="45"/>
  <c r="F19" i="45" s="1"/>
  <c r="H99" i="45"/>
  <c r="I99" i="45"/>
  <c r="H18" i="13"/>
  <c r="I18" i="13" s="1"/>
  <c r="I18" i="46"/>
  <c r="E19" i="13"/>
  <c r="F19" i="13" s="1"/>
  <c r="B19" i="13"/>
  <c r="B100" i="45"/>
  <c r="D24" i="27"/>
  <c r="N5" i="27"/>
  <c r="E24" i="27"/>
  <c r="N6" i="44"/>
  <c r="N7" i="10"/>
  <c r="D22" i="30"/>
  <c r="E22" i="30"/>
  <c r="D23" i="31"/>
  <c r="E23" i="31"/>
  <c r="D27" i="22"/>
  <c r="E27" i="22"/>
  <c r="D20" i="38"/>
  <c r="E20" i="38"/>
  <c r="F30" i="9"/>
  <c r="B30" i="9"/>
  <c r="D23" i="28"/>
  <c r="E23" i="28"/>
  <c r="G31" i="10"/>
  <c r="E32" i="10"/>
  <c r="H31" i="10"/>
  <c r="D32" i="10"/>
  <c r="N5" i="9"/>
  <c r="D19" i="42"/>
  <c r="E19" i="42"/>
  <c r="D19" i="40"/>
  <c r="E19" i="40"/>
  <c r="D28" i="3"/>
  <c r="E28" i="3"/>
  <c r="N6" i="13"/>
  <c r="E100" i="46"/>
  <c r="F100" i="46" s="1"/>
  <c r="D23" i="29"/>
  <c r="E23" i="29"/>
  <c r="D20" i="39"/>
  <c r="E20" i="39"/>
  <c r="B19" i="46"/>
  <c r="F19" i="46"/>
  <c r="G19" i="46" s="1"/>
  <c r="F55" i="1"/>
  <c r="D28" i="5"/>
  <c r="E28" i="5"/>
  <c r="I29" i="9"/>
  <c r="N6" i="9"/>
  <c r="I17" i="45"/>
  <c r="N7" i="37"/>
  <c r="D30" i="11"/>
  <c r="E30" i="11"/>
  <c r="D29" i="8"/>
  <c r="E29" i="8"/>
  <c r="D29" i="6"/>
  <c r="E29" i="6"/>
  <c r="D31" i="7"/>
  <c r="E31" i="7"/>
  <c r="E21" i="37"/>
  <c r="D21" i="37"/>
  <c r="I17" i="44"/>
  <c r="I99" i="46"/>
  <c r="H99" i="46"/>
  <c r="D19" i="41"/>
  <c r="E19" i="41"/>
  <c r="D26" i="23"/>
  <c r="E26" i="23"/>
  <c r="D25" i="24"/>
  <c r="E25" i="24"/>
  <c r="D27" i="25"/>
  <c r="E27" i="25"/>
  <c r="G20" i="37"/>
  <c r="I20" i="37" s="1"/>
  <c r="H101" i="13"/>
  <c r="I101" i="13"/>
  <c r="F36" i="17"/>
  <c r="F25" i="17"/>
  <c r="D20" i="45" l="1"/>
  <c r="E20" i="45" s="1"/>
  <c r="H19" i="45"/>
  <c r="I19" i="44"/>
  <c r="N5" i="44"/>
  <c r="N7" i="44" s="1"/>
  <c r="E102" i="13"/>
  <c r="N7" i="13"/>
  <c r="E20" i="44"/>
  <c r="F20" i="44" s="1"/>
  <c r="B20" i="44"/>
  <c r="G19" i="45"/>
  <c r="G19" i="13"/>
  <c r="D20" i="13"/>
  <c r="H19" i="13"/>
  <c r="J99" i="45"/>
  <c r="I23" i="27"/>
  <c r="N6" i="27"/>
  <c r="N7" i="27" s="1"/>
  <c r="B24" i="27"/>
  <c r="F24" i="27"/>
  <c r="G25" i="17"/>
  <c r="J99" i="46"/>
  <c r="G36" i="17"/>
  <c r="N5" i="41"/>
  <c r="N5" i="7"/>
  <c r="F28" i="5"/>
  <c r="B28" i="5"/>
  <c r="I19" i="38"/>
  <c r="N6" i="38"/>
  <c r="B23" i="31"/>
  <c r="F23" i="31"/>
  <c r="I26" i="25"/>
  <c r="N6" i="25"/>
  <c r="I24" i="24"/>
  <c r="N6" i="24"/>
  <c r="F19" i="41"/>
  <c r="H19" i="41" s="1"/>
  <c r="B19" i="41"/>
  <c r="B20" i="45"/>
  <c r="F20" i="45"/>
  <c r="H20" i="45" s="1"/>
  <c r="N5" i="43"/>
  <c r="N6" i="6"/>
  <c r="I28" i="6"/>
  <c r="N6" i="8"/>
  <c r="I28" i="8"/>
  <c r="I29" i="11"/>
  <c r="N6" i="11"/>
  <c r="I27" i="5"/>
  <c r="N6" i="5"/>
  <c r="I19" i="39"/>
  <c r="N6" i="39"/>
  <c r="I22" i="29"/>
  <c r="N6" i="29"/>
  <c r="I27" i="3"/>
  <c r="N6" i="3"/>
  <c r="N5" i="40"/>
  <c r="I18" i="42"/>
  <c r="N6" i="42"/>
  <c r="B23" i="28"/>
  <c r="F23" i="28"/>
  <c r="F22" i="30"/>
  <c r="B22" i="30"/>
  <c r="N5" i="23"/>
  <c r="D20" i="46"/>
  <c r="E20" i="46" s="1"/>
  <c r="D101" i="46"/>
  <c r="B101" i="46" s="1"/>
  <c r="G100" i="46"/>
  <c r="N5" i="28"/>
  <c r="I26" i="22"/>
  <c r="N6" i="22"/>
  <c r="N5" i="30"/>
  <c r="N5" i="25"/>
  <c r="F25" i="24"/>
  <c r="B25" i="24"/>
  <c r="I25" i="23"/>
  <c r="N6" i="23"/>
  <c r="N6" i="41"/>
  <c r="I18" i="41"/>
  <c r="N5" i="4"/>
  <c r="N5" i="45"/>
  <c r="N6" i="43"/>
  <c r="I17" i="43"/>
  <c r="I30" i="7"/>
  <c r="N6" i="7"/>
  <c r="N5" i="8"/>
  <c r="N5" i="11"/>
  <c r="H19" i="46"/>
  <c r="B20" i="39"/>
  <c r="F20" i="39"/>
  <c r="G20" i="39" s="1"/>
  <c r="N5" i="29"/>
  <c r="N5" i="3"/>
  <c r="F19" i="40"/>
  <c r="H19" i="40" s="1"/>
  <c r="B19" i="40"/>
  <c r="B19" i="42"/>
  <c r="F19" i="42"/>
  <c r="G19" i="42" s="1"/>
  <c r="B32" i="10"/>
  <c r="F32" i="10"/>
  <c r="N5" i="38"/>
  <c r="N5" i="22"/>
  <c r="N5" i="31"/>
  <c r="B28" i="4"/>
  <c r="B18" i="43"/>
  <c r="F29" i="6"/>
  <c r="B29" i="6"/>
  <c r="B27" i="25"/>
  <c r="F27" i="25"/>
  <c r="N5" i="24"/>
  <c r="B26" i="23"/>
  <c r="F26" i="23"/>
  <c r="I27" i="4"/>
  <c r="N6" i="4"/>
  <c r="I19" i="45"/>
  <c r="N6" i="45"/>
  <c r="B21" i="37"/>
  <c r="F21" i="37"/>
  <c r="H21" i="37" s="1"/>
  <c r="B31" i="7"/>
  <c r="F31" i="7"/>
  <c r="N5" i="6"/>
  <c r="F29" i="8"/>
  <c r="B29" i="8"/>
  <c r="B30" i="11"/>
  <c r="F30" i="11"/>
  <c r="N7" i="9"/>
  <c r="N5" i="5"/>
  <c r="F62" i="1"/>
  <c r="F65" i="1" s="1"/>
  <c r="F67" i="1" s="1"/>
  <c r="F69" i="1" s="1"/>
  <c r="F76" i="1"/>
  <c r="F77" i="1" s="1"/>
  <c r="N5" i="39"/>
  <c r="F23" i="29"/>
  <c r="B23" i="29"/>
  <c r="F28" i="3"/>
  <c r="B28" i="3"/>
  <c r="I18" i="40"/>
  <c r="N6" i="40"/>
  <c r="N5" i="42"/>
  <c r="I31" i="10"/>
  <c r="I22" i="28"/>
  <c r="N6" i="28"/>
  <c r="G30" i="9"/>
  <c r="D31" i="9"/>
  <c r="H30" i="9"/>
  <c r="E31" i="9"/>
  <c r="F20" i="38"/>
  <c r="H20" i="38" s="1"/>
  <c r="B20" i="38"/>
  <c r="F27" i="22"/>
  <c r="B27" i="22"/>
  <c r="I22" i="31"/>
  <c r="N6" i="31"/>
  <c r="N6" i="30"/>
  <c r="I21" i="30"/>
  <c r="F59" i="2"/>
  <c r="F79" i="2" s="1"/>
  <c r="F80" i="2" s="1"/>
  <c r="F82" i="2" s="1"/>
  <c r="F76" i="2"/>
  <c r="F77" i="2" s="1"/>
  <c r="J101" i="13"/>
  <c r="F102" i="13"/>
  <c r="F31" i="17"/>
  <c r="F24" i="17"/>
  <c r="F43" i="17"/>
  <c r="N7" i="45" l="1"/>
  <c r="G43" i="17"/>
  <c r="N7" i="41"/>
  <c r="H20" i="44"/>
  <c r="G20" i="44"/>
  <c r="D21" i="44"/>
  <c r="G20" i="45"/>
  <c r="I20" i="45" s="1"/>
  <c r="I19" i="13"/>
  <c r="E20" i="13"/>
  <c r="B20" i="13"/>
  <c r="F20" i="13"/>
  <c r="G31" i="17"/>
  <c r="I18" i="43"/>
  <c r="G20" i="38"/>
  <c r="I20" i="38" s="1"/>
  <c r="H20" i="39"/>
  <c r="I20" i="39" s="1"/>
  <c r="H24" i="27"/>
  <c r="E25" i="27"/>
  <c r="D25" i="27"/>
  <c r="G24" i="27"/>
  <c r="N7" i="23"/>
  <c r="N7" i="4"/>
  <c r="N7" i="31"/>
  <c r="N7" i="40"/>
  <c r="N7" i="30"/>
  <c r="N7" i="7"/>
  <c r="N7" i="29"/>
  <c r="N7" i="25"/>
  <c r="G24" i="17"/>
  <c r="H100" i="46"/>
  <c r="I100" i="46"/>
  <c r="H27" i="22"/>
  <c r="G27" i="22"/>
  <c r="D28" i="22"/>
  <c r="E28" i="22"/>
  <c r="D21" i="38"/>
  <c r="E21" i="38"/>
  <c r="H28" i="3"/>
  <c r="D29" i="3"/>
  <c r="G28" i="3"/>
  <c r="E29" i="3"/>
  <c r="F70" i="1"/>
  <c r="F71" i="1" s="1"/>
  <c r="F56" i="1" s="1"/>
  <c r="F57" i="1" s="1"/>
  <c r="F59" i="1" s="1"/>
  <c r="F79" i="1" s="1"/>
  <c r="F80" i="1" s="1"/>
  <c r="F82" i="1" s="1"/>
  <c r="G29" i="8"/>
  <c r="D30" i="8"/>
  <c r="H29" i="8"/>
  <c r="E30" i="8"/>
  <c r="D32" i="7"/>
  <c r="G31" i="7"/>
  <c r="H31" i="7"/>
  <c r="E32" i="7"/>
  <c r="D29" i="4"/>
  <c r="E29" i="4"/>
  <c r="D20" i="42"/>
  <c r="E20" i="42"/>
  <c r="I19" i="46"/>
  <c r="N7" i="46"/>
  <c r="G22" i="30"/>
  <c r="D23" i="30"/>
  <c r="H22" i="30"/>
  <c r="E23" i="30"/>
  <c r="D24" i="28"/>
  <c r="G23" i="28"/>
  <c r="H23" i="28"/>
  <c r="E24" i="28"/>
  <c r="N7" i="3"/>
  <c r="N7" i="24"/>
  <c r="N7" i="38"/>
  <c r="D24" i="29"/>
  <c r="H23" i="29"/>
  <c r="G23" i="29"/>
  <c r="E24" i="29"/>
  <c r="H29" i="6"/>
  <c r="G29" i="6"/>
  <c r="D30" i="6"/>
  <c r="E30" i="6"/>
  <c r="D20" i="40"/>
  <c r="E20" i="40"/>
  <c r="D20" i="41"/>
  <c r="E20" i="41"/>
  <c r="D31" i="11"/>
  <c r="G30" i="11"/>
  <c r="H30" i="11"/>
  <c r="E31" i="11"/>
  <c r="G26" i="23"/>
  <c r="D27" i="23"/>
  <c r="H26" i="23"/>
  <c r="E27" i="23"/>
  <c r="D28" i="25"/>
  <c r="G27" i="25"/>
  <c r="H27" i="25"/>
  <c r="E28" i="25"/>
  <c r="M19" i="1"/>
  <c r="D21" i="39"/>
  <c r="E21" i="39"/>
  <c r="N7" i="22"/>
  <c r="N7" i="5"/>
  <c r="N7" i="11"/>
  <c r="N7" i="8"/>
  <c r="N7" i="6"/>
  <c r="G19" i="41"/>
  <c r="D24" i="31"/>
  <c r="G23" i="31"/>
  <c r="H23" i="31"/>
  <c r="E24" i="31"/>
  <c r="B31" i="9"/>
  <c r="F31" i="9"/>
  <c r="E22" i="37"/>
  <c r="D22" i="37"/>
  <c r="H25" i="24"/>
  <c r="D26" i="24"/>
  <c r="G25" i="24"/>
  <c r="E26" i="24"/>
  <c r="N7" i="42"/>
  <c r="N7" i="28"/>
  <c r="I30" i="9"/>
  <c r="G21" i="37"/>
  <c r="D19" i="43"/>
  <c r="E19" i="43"/>
  <c r="E33" i="10"/>
  <c r="D33" i="10"/>
  <c r="G32" i="10"/>
  <c r="H32" i="10"/>
  <c r="H19" i="42"/>
  <c r="G19" i="40"/>
  <c r="N7" i="43"/>
  <c r="E101" i="46"/>
  <c r="F101" i="46" s="1"/>
  <c r="F20" i="46"/>
  <c r="H20" i="46" s="1"/>
  <c r="B20" i="46"/>
  <c r="N7" i="39"/>
  <c r="D21" i="45"/>
  <c r="E21" i="45" s="1"/>
  <c r="H28" i="5"/>
  <c r="G28" i="5"/>
  <c r="D29" i="5"/>
  <c r="E29" i="5"/>
  <c r="G102" i="13"/>
  <c r="D103" i="13"/>
  <c r="F18" i="17"/>
  <c r="F22" i="17"/>
  <c r="F38" i="17"/>
  <c r="F29" i="17"/>
  <c r="F44" i="17"/>
  <c r="F23" i="17"/>
  <c r="F27" i="17"/>
  <c r="F26" i="17"/>
  <c r="F20" i="17"/>
  <c r="F39" i="17"/>
  <c r="F30" i="17"/>
  <c r="F33" i="17"/>
  <c r="F41" i="17"/>
  <c r="F42" i="17"/>
  <c r="F32" i="17"/>
  <c r="F35" i="17"/>
  <c r="F37" i="17"/>
  <c r="F34" i="17"/>
  <c r="F28" i="17"/>
  <c r="F40" i="17"/>
  <c r="F21" i="17"/>
  <c r="F19" i="17"/>
  <c r="F47" i="17" l="1"/>
  <c r="G44" i="17"/>
  <c r="G42" i="17"/>
  <c r="G40" i="17"/>
  <c r="N19" i="1"/>
  <c r="O19" i="1" s="1"/>
  <c r="I20" i="44"/>
  <c r="E21" i="44"/>
  <c r="B21" i="44"/>
  <c r="F21" i="44"/>
  <c r="G20" i="46"/>
  <c r="I20" i="46" s="1"/>
  <c r="D21" i="13"/>
  <c r="H20" i="13"/>
  <c r="G20" i="13"/>
  <c r="F25" i="27"/>
  <c r="B25" i="27"/>
  <c r="I24" i="27"/>
  <c r="G28" i="17"/>
  <c r="G34" i="17"/>
  <c r="G39" i="17"/>
  <c r="G35" i="17"/>
  <c r="G22" i="17"/>
  <c r="G19" i="17"/>
  <c r="G30" i="17"/>
  <c r="G33" i="17"/>
  <c r="J100" i="46"/>
  <c r="G41" i="17"/>
  <c r="G23" i="17"/>
  <c r="G29" i="17"/>
  <c r="G21" i="17"/>
  <c r="G38" i="17"/>
  <c r="G26" i="17"/>
  <c r="G27" i="17"/>
  <c r="G18" i="17"/>
  <c r="G32" i="17"/>
  <c r="G20" i="17"/>
  <c r="G37" i="17"/>
  <c r="B20" i="41"/>
  <c r="F20" i="41"/>
  <c r="G20" i="41" s="1"/>
  <c r="F24" i="29"/>
  <c r="B24" i="29"/>
  <c r="I31" i="7"/>
  <c r="I29" i="8"/>
  <c r="F29" i="5"/>
  <c r="B29" i="5"/>
  <c r="F21" i="45"/>
  <c r="G21" i="45" s="1"/>
  <c r="B21" i="45"/>
  <c r="B33" i="10"/>
  <c r="F33" i="10"/>
  <c r="B26" i="24"/>
  <c r="F26" i="24"/>
  <c r="I27" i="25"/>
  <c r="I26" i="23"/>
  <c r="I30" i="11"/>
  <c r="B30" i="6"/>
  <c r="F30" i="6"/>
  <c r="I23" i="28"/>
  <c r="I22" i="30"/>
  <c r="I28" i="4"/>
  <c r="B30" i="8"/>
  <c r="F30" i="8"/>
  <c r="F28" i="22"/>
  <c r="B28" i="22"/>
  <c r="I19" i="41"/>
  <c r="G101" i="46"/>
  <c r="D102" i="46"/>
  <c r="B19" i="43"/>
  <c r="F19" i="43"/>
  <c r="H19" i="43" s="1"/>
  <c r="I23" i="31"/>
  <c r="I28" i="3"/>
  <c r="I19" i="42"/>
  <c r="I25" i="24"/>
  <c r="H31" i="9"/>
  <c r="D32" i="9"/>
  <c r="G31" i="9"/>
  <c r="E32" i="9"/>
  <c r="B24" i="31"/>
  <c r="F24" i="31"/>
  <c r="B21" i="39"/>
  <c r="F21" i="39"/>
  <c r="B27" i="23"/>
  <c r="F27" i="23"/>
  <c r="F23" i="30"/>
  <c r="B23" i="30"/>
  <c r="F20" i="42"/>
  <c r="G20" i="42" s="1"/>
  <c r="B20" i="42"/>
  <c r="F29" i="4"/>
  <c r="B29" i="4"/>
  <c r="B32" i="7"/>
  <c r="F32" i="7"/>
  <c r="F22" i="37"/>
  <c r="H22" i="37" s="1"/>
  <c r="B22" i="37"/>
  <c r="I28" i="5"/>
  <c r="D21" i="46"/>
  <c r="E21" i="46" s="1"/>
  <c r="I32" i="10"/>
  <c r="M20" i="1"/>
  <c r="R132" i="1"/>
  <c r="B28" i="25"/>
  <c r="F28" i="25"/>
  <c r="F31" i="11"/>
  <c r="B31" i="11"/>
  <c r="B20" i="40"/>
  <c r="F20" i="40"/>
  <c r="G20" i="40" s="1"/>
  <c r="I29" i="6"/>
  <c r="I23" i="29"/>
  <c r="F24" i="28"/>
  <c r="B24" i="28"/>
  <c r="F29" i="3"/>
  <c r="B29" i="3"/>
  <c r="B21" i="38"/>
  <c r="F21" i="38"/>
  <c r="H21" i="38" s="1"/>
  <c r="I27" i="22"/>
  <c r="I19" i="40"/>
  <c r="I21" i="37"/>
  <c r="B103" i="13"/>
  <c r="E103" i="13"/>
  <c r="F103" i="13" s="1"/>
  <c r="I102" i="13"/>
  <c r="H102" i="13"/>
  <c r="G47" i="17" l="1"/>
  <c r="H20" i="40"/>
  <c r="R133" i="1"/>
  <c r="N20" i="1"/>
  <c r="H21" i="44"/>
  <c r="D22" i="44"/>
  <c r="G21" i="44"/>
  <c r="I20" i="13"/>
  <c r="E21" i="13"/>
  <c r="F21" i="13" s="1"/>
  <c r="G21" i="13" s="1"/>
  <c r="B21" i="13"/>
  <c r="H20" i="42"/>
  <c r="I20" i="42" s="1"/>
  <c r="H20" i="41"/>
  <c r="G25" i="27"/>
  <c r="H25" i="27"/>
  <c r="E26" i="27"/>
  <c r="D26" i="27"/>
  <c r="R134" i="1"/>
  <c r="O20" i="1"/>
  <c r="D22" i="38"/>
  <c r="E22" i="38"/>
  <c r="D32" i="11"/>
  <c r="G31" i="11"/>
  <c r="H31" i="11"/>
  <c r="E32" i="11"/>
  <c r="D22" i="39"/>
  <c r="E22" i="39"/>
  <c r="H30" i="8"/>
  <c r="G30" i="8"/>
  <c r="D31" i="8"/>
  <c r="E31" i="8"/>
  <c r="D25" i="29"/>
  <c r="G24" i="29"/>
  <c r="H24" i="29"/>
  <c r="E25" i="29"/>
  <c r="I20" i="40"/>
  <c r="I20" i="41"/>
  <c r="D30" i="3"/>
  <c r="G29" i="3"/>
  <c r="H29" i="3"/>
  <c r="E30" i="3"/>
  <c r="G24" i="28"/>
  <c r="D25" i="28"/>
  <c r="H24" i="28"/>
  <c r="E25" i="28"/>
  <c r="F21" i="46"/>
  <c r="H21" i="46" s="1"/>
  <c r="B21" i="46"/>
  <c r="G29" i="4"/>
  <c r="H29" i="4"/>
  <c r="D30" i="4"/>
  <c r="E30" i="4"/>
  <c r="D21" i="42"/>
  <c r="E21" i="42"/>
  <c r="D28" i="23"/>
  <c r="G27" i="23"/>
  <c r="H27" i="23"/>
  <c r="E28" i="23"/>
  <c r="H21" i="39"/>
  <c r="H24" i="31"/>
  <c r="D25" i="31"/>
  <c r="G24" i="31"/>
  <c r="E25" i="31"/>
  <c r="B32" i="9"/>
  <c r="F32" i="9"/>
  <c r="D20" i="43"/>
  <c r="E20" i="43"/>
  <c r="E102" i="46"/>
  <c r="F102" i="46" s="1"/>
  <c r="B102" i="46"/>
  <c r="H26" i="24"/>
  <c r="D27" i="24"/>
  <c r="G26" i="24"/>
  <c r="E27" i="24"/>
  <c r="H33" i="10"/>
  <c r="D34" i="10"/>
  <c r="E34" i="10"/>
  <c r="G33" i="10"/>
  <c r="D21" i="41"/>
  <c r="E21" i="41"/>
  <c r="E23" i="37"/>
  <c r="D23" i="37"/>
  <c r="H23" i="30"/>
  <c r="D24" i="30"/>
  <c r="G23" i="30"/>
  <c r="E24" i="30"/>
  <c r="D22" i="45"/>
  <c r="E22" i="45" s="1"/>
  <c r="G21" i="38"/>
  <c r="D21" i="40"/>
  <c r="E21" i="40"/>
  <c r="G28" i="25"/>
  <c r="D29" i="25"/>
  <c r="H28" i="25"/>
  <c r="E29" i="25"/>
  <c r="G22" i="37"/>
  <c r="I22" i="37" s="1"/>
  <c r="G32" i="7"/>
  <c r="D33" i="7"/>
  <c r="H32" i="7"/>
  <c r="E33" i="7"/>
  <c r="G21" i="39"/>
  <c r="I31" i="9"/>
  <c r="G19" i="43"/>
  <c r="H101" i="46"/>
  <c r="I101" i="46"/>
  <c r="H28" i="22"/>
  <c r="D29" i="22"/>
  <c r="G28" i="22"/>
  <c r="E29" i="22"/>
  <c r="H30" i="6"/>
  <c r="D31" i="6"/>
  <c r="G30" i="6"/>
  <c r="E31" i="6"/>
  <c r="H21" i="45"/>
  <c r="G29" i="5"/>
  <c r="D30" i="5"/>
  <c r="H29" i="5"/>
  <c r="E30" i="5"/>
  <c r="F48" i="17"/>
  <c r="G103" i="13"/>
  <c r="D104" i="13"/>
  <c r="E104" i="13" s="1"/>
  <c r="J102" i="13"/>
  <c r="E22" i="44" l="1"/>
  <c r="F22" i="44"/>
  <c r="B22" i="44"/>
  <c r="I21" i="44"/>
  <c r="H21" i="13"/>
  <c r="I21" i="13" s="1"/>
  <c r="D22" i="13"/>
  <c r="I25" i="27"/>
  <c r="F26" i="27"/>
  <c r="B26" i="27"/>
  <c r="J101" i="46"/>
  <c r="B31" i="6"/>
  <c r="F31" i="6"/>
  <c r="B25" i="31"/>
  <c r="F25" i="31"/>
  <c r="F25" i="28"/>
  <c r="B25" i="28"/>
  <c r="I21" i="45"/>
  <c r="I30" i="6"/>
  <c r="I28" i="22"/>
  <c r="I24" i="31"/>
  <c r="I29" i="4"/>
  <c r="B30" i="3"/>
  <c r="F30" i="3"/>
  <c r="I30" i="8"/>
  <c r="F22" i="39"/>
  <c r="H22" i="39" s="1"/>
  <c r="B22" i="39"/>
  <c r="F23" i="37"/>
  <c r="H23" i="37" s="1"/>
  <c r="B23" i="37"/>
  <c r="D103" i="46"/>
  <c r="G102" i="46"/>
  <c r="H32" i="9"/>
  <c r="D33" i="9"/>
  <c r="G32" i="9"/>
  <c r="E33" i="9"/>
  <c r="B30" i="4"/>
  <c r="F30" i="4"/>
  <c r="I28" i="25"/>
  <c r="B21" i="40"/>
  <c r="F21" i="40"/>
  <c r="G21" i="40" s="1"/>
  <c r="B22" i="45"/>
  <c r="F22" i="45"/>
  <c r="H22" i="45" s="1"/>
  <c r="B24" i="30"/>
  <c r="F24" i="30"/>
  <c r="F21" i="41"/>
  <c r="H21" i="41" s="1"/>
  <c r="B21" i="41"/>
  <c r="F34" i="10"/>
  <c r="B34" i="10"/>
  <c r="F27" i="24"/>
  <c r="B27" i="24"/>
  <c r="I21" i="39"/>
  <c r="B28" i="23"/>
  <c r="F28" i="23"/>
  <c r="B21" i="42"/>
  <c r="F21" i="42"/>
  <c r="H21" i="42" s="1"/>
  <c r="I24" i="29"/>
  <c r="I31" i="11"/>
  <c r="B22" i="38"/>
  <c r="F22" i="38"/>
  <c r="G22" i="38" s="1"/>
  <c r="F29" i="22"/>
  <c r="B29" i="22"/>
  <c r="F33" i="7"/>
  <c r="B33" i="7"/>
  <c r="I21" i="38"/>
  <c r="I27" i="23"/>
  <c r="D22" i="46"/>
  <c r="F25" i="29"/>
  <c r="B25" i="29"/>
  <c r="I19" i="43"/>
  <c r="B32" i="11"/>
  <c r="F32" i="11"/>
  <c r="I29" i="5"/>
  <c r="B30" i="5"/>
  <c r="F30" i="5"/>
  <c r="I32" i="7"/>
  <c r="F29" i="25"/>
  <c r="B29" i="25"/>
  <c r="I23" i="30"/>
  <c r="I33" i="10"/>
  <c r="I26" i="24"/>
  <c r="B20" i="43"/>
  <c r="F20" i="43"/>
  <c r="H20" i="43" s="1"/>
  <c r="G21" i="46"/>
  <c r="I21" i="46" s="1"/>
  <c r="I24" i="28"/>
  <c r="I29" i="3"/>
  <c r="F31" i="8"/>
  <c r="B31" i="8"/>
  <c r="I103" i="13"/>
  <c r="N88" i="13" s="1"/>
  <c r="H103" i="13"/>
  <c r="M88" i="13" s="1"/>
  <c r="M89" i="13" s="1"/>
  <c r="F104" i="13"/>
  <c r="B104" i="13"/>
  <c r="O88" i="13" l="1"/>
  <c r="O89" i="13" s="1"/>
  <c r="N89" i="13"/>
  <c r="G22" i="44"/>
  <c r="D23" i="44"/>
  <c r="H22" i="44"/>
  <c r="B22" i="13"/>
  <c r="E22" i="13"/>
  <c r="F22" i="13" s="1"/>
  <c r="G22" i="39"/>
  <c r="I22" i="39" s="1"/>
  <c r="G21" i="41"/>
  <c r="H22" i="38"/>
  <c r="I22" i="38" s="1"/>
  <c r="G20" i="43"/>
  <c r="G21" i="42"/>
  <c r="I21" i="42" s="1"/>
  <c r="H21" i="40"/>
  <c r="I21" i="40" s="1"/>
  <c r="D27" i="27"/>
  <c r="E27" i="27"/>
  <c r="G26" i="27"/>
  <c r="H26" i="27"/>
  <c r="D26" i="29"/>
  <c r="H25" i="29"/>
  <c r="G25" i="29"/>
  <c r="E26" i="29"/>
  <c r="D30" i="22"/>
  <c r="G29" i="22"/>
  <c r="H29" i="22"/>
  <c r="E30" i="22"/>
  <c r="F33" i="9"/>
  <c r="B33" i="9"/>
  <c r="G25" i="28"/>
  <c r="D26" i="28"/>
  <c r="H25" i="28"/>
  <c r="E26" i="28"/>
  <c r="I20" i="43"/>
  <c r="I21" i="41"/>
  <c r="G22" i="45"/>
  <c r="I22" i="45" s="1"/>
  <c r="I32" i="9"/>
  <c r="D24" i="37"/>
  <c r="E24" i="37"/>
  <c r="D23" i="39"/>
  <c r="E23" i="39"/>
  <c r="D26" i="31"/>
  <c r="G25" i="31"/>
  <c r="H25" i="31"/>
  <c r="E26" i="31"/>
  <c r="H31" i="6"/>
  <c r="D32" i="6"/>
  <c r="G31" i="6"/>
  <c r="E32" i="6"/>
  <c r="D33" i="11"/>
  <c r="G32" i="11"/>
  <c r="H32" i="11"/>
  <c r="E33" i="11"/>
  <c r="B22" i="46"/>
  <c r="G30" i="4"/>
  <c r="D31" i="4"/>
  <c r="H30" i="4"/>
  <c r="E31" i="4"/>
  <c r="D31" i="3"/>
  <c r="H30" i="3"/>
  <c r="G30" i="3"/>
  <c r="E31" i="3"/>
  <c r="D21" i="43"/>
  <c r="E21" i="43"/>
  <c r="H33" i="7"/>
  <c r="D34" i="7"/>
  <c r="G33" i="7"/>
  <c r="E34" i="7"/>
  <c r="E35" i="10"/>
  <c r="H34" i="10"/>
  <c r="D35" i="10"/>
  <c r="G34" i="10"/>
  <c r="D22" i="41"/>
  <c r="E22" i="41"/>
  <c r="D22" i="40"/>
  <c r="E22" i="40"/>
  <c r="I102" i="46"/>
  <c r="H102" i="46"/>
  <c r="G23" i="37"/>
  <c r="I23" i="37" s="1"/>
  <c r="H30" i="5"/>
  <c r="D31" i="5"/>
  <c r="G30" i="5"/>
  <c r="E31" i="5"/>
  <c r="G27" i="24"/>
  <c r="D28" i="24"/>
  <c r="H27" i="24"/>
  <c r="E28" i="24"/>
  <c r="D32" i="8"/>
  <c r="H31" i="8"/>
  <c r="G31" i="8"/>
  <c r="E32" i="8"/>
  <c r="D30" i="25"/>
  <c r="G29" i="25"/>
  <c r="H29" i="25"/>
  <c r="E30" i="25"/>
  <c r="E22" i="46"/>
  <c r="F22" i="46" s="1"/>
  <c r="D23" i="38"/>
  <c r="E23" i="38"/>
  <c r="D22" i="42"/>
  <c r="E22" i="42"/>
  <c r="D29" i="23"/>
  <c r="H28" i="23"/>
  <c r="G28" i="23"/>
  <c r="E29" i="23"/>
  <c r="H24" i="30"/>
  <c r="D25" i="30"/>
  <c r="G24" i="30"/>
  <c r="E25" i="30"/>
  <c r="D23" i="45"/>
  <c r="E23" i="45" s="1"/>
  <c r="E103" i="46"/>
  <c r="F103" i="46" s="1"/>
  <c r="B103" i="46"/>
  <c r="J103" i="13"/>
  <c r="G104" i="13"/>
  <c r="D105" i="13"/>
  <c r="E105" i="13" s="1"/>
  <c r="I22" i="44" l="1"/>
  <c r="E23" i="44"/>
  <c r="F23" i="44"/>
  <c r="B23" i="44"/>
  <c r="G22" i="13"/>
  <c r="H22" i="13"/>
  <c r="D23" i="13"/>
  <c r="B23" i="13" s="1"/>
  <c r="E23" i="13"/>
  <c r="F23" i="13" s="1"/>
  <c r="G23" i="13" s="1"/>
  <c r="I26" i="27"/>
  <c r="B27" i="27"/>
  <c r="F27" i="27"/>
  <c r="D23" i="46"/>
  <c r="E23" i="46" s="1"/>
  <c r="G22" i="46"/>
  <c r="H22" i="46"/>
  <c r="I22" i="46" s="1"/>
  <c r="B28" i="24"/>
  <c r="F28" i="24"/>
  <c r="I32" i="11"/>
  <c r="B26" i="29"/>
  <c r="F26" i="29"/>
  <c r="B22" i="42"/>
  <c r="F22" i="42"/>
  <c r="H22" i="42" s="1"/>
  <c r="B30" i="25"/>
  <c r="F30" i="25"/>
  <c r="B32" i="8"/>
  <c r="F32" i="8"/>
  <c r="B22" i="40"/>
  <c r="F22" i="40"/>
  <c r="H22" i="40" s="1"/>
  <c r="B35" i="10"/>
  <c r="F35" i="10"/>
  <c r="F21" i="43"/>
  <c r="H21" i="43" s="1"/>
  <c r="B21" i="43"/>
  <c r="B32" i="6"/>
  <c r="F32" i="6"/>
  <c r="B24" i="37"/>
  <c r="F24" i="37"/>
  <c r="G24" i="37" s="1"/>
  <c r="D24" i="13"/>
  <c r="F26" i="28"/>
  <c r="B26" i="28"/>
  <c r="D34" i="9"/>
  <c r="H33" i="9"/>
  <c r="G33" i="9"/>
  <c r="E34" i="9"/>
  <c r="G103" i="46"/>
  <c r="D104" i="46"/>
  <c r="F25" i="30"/>
  <c r="B25" i="30"/>
  <c r="I28" i="23"/>
  <c r="B23" i="38"/>
  <c r="F23" i="38"/>
  <c r="G23" i="38" s="1"/>
  <c r="F31" i="5"/>
  <c r="B31" i="5"/>
  <c r="J102" i="46"/>
  <c r="I34" i="10"/>
  <c r="I30" i="4"/>
  <c r="F33" i="11"/>
  <c r="B33" i="11"/>
  <c r="I31" i="6"/>
  <c r="B26" i="31"/>
  <c r="F26" i="31"/>
  <c r="F23" i="39"/>
  <c r="B23" i="39"/>
  <c r="I29" i="22"/>
  <c r="I31" i="8"/>
  <c r="I33" i="7"/>
  <c r="B31" i="3"/>
  <c r="F31" i="3"/>
  <c r="I25" i="31"/>
  <c r="F30" i="22"/>
  <c r="B30" i="22"/>
  <c r="F23" i="45"/>
  <c r="H23" i="45" s="1"/>
  <c r="B23" i="45"/>
  <c r="I24" i="30"/>
  <c r="B29" i="23"/>
  <c r="F29" i="23"/>
  <c r="I29" i="25"/>
  <c r="I27" i="24"/>
  <c r="I30" i="5"/>
  <c r="B22" i="41"/>
  <c r="F22" i="41"/>
  <c r="B34" i="7"/>
  <c r="F34" i="7"/>
  <c r="I30" i="3"/>
  <c r="F31" i="4"/>
  <c r="B31" i="4"/>
  <c r="I25" i="28"/>
  <c r="I25" i="29"/>
  <c r="H104" i="13"/>
  <c r="I104" i="13"/>
  <c r="B105" i="13"/>
  <c r="F105" i="13"/>
  <c r="G21" i="43" l="1"/>
  <c r="H23" i="44"/>
  <c r="D24" i="44"/>
  <c r="G23" i="44"/>
  <c r="H23" i="38"/>
  <c r="I23" i="38" s="1"/>
  <c r="I22" i="13"/>
  <c r="H23" i="13"/>
  <c r="I23" i="13" s="1"/>
  <c r="G22" i="42"/>
  <c r="I22" i="42" s="1"/>
  <c r="H24" i="37"/>
  <c r="I24" i="37" s="1"/>
  <c r="D28" i="27"/>
  <c r="G27" i="27"/>
  <c r="E28" i="27"/>
  <c r="H27" i="27"/>
  <c r="D24" i="39"/>
  <c r="E24" i="39"/>
  <c r="H103" i="46"/>
  <c r="M88" i="46" s="1"/>
  <c r="M89" i="46" s="1"/>
  <c r="I103" i="46"/>
  <c r="N88" i="46" s="1"/>
  <c r="N89" i="46" s="1"/>
  <c r="B24" i="13"/>
  <c r="D35" i="7"/>
  <c r="G34" i="7"/>
  <c r="H34" i="7"/>
  <c r="E35" i="7"/>
  <c r="G29" i="23"/>
  <c r="H29" i="23"/>
  <c r="D30" i="23"/>
  <c r="E30" i="23"/>
  <c r="G31" i="3"/>
  <c r="H31" i="3"/>
  <c r="D32" i="3"/>
  <c r="E32" i="3"/>
  <c r="G23" i="39"/>
  <c r="D27" i="31"/>
  <c r="G26" i="31"/>
  <c r="H26" i="31"/>
  <c r="E27" i="31"/>
  <c r="D24" i="38"/>
  <c r="E24" i="38"/>
  <c r="G32" i="6"/>
  <c r="H32" i="6"/>
  <c r="D33" i="6"/>
  <c r="E33" i="6"/>
  <c r="D22" i="43"/>
  <c r="E22" i="43"/>
  <c r="G22" i="40"/>
  <c r="I22" i="40" s="1"/>
  <c r="H32" i="8"/>
  <c r="D33" i="8"/>
  <c r="G32" i="8"/>
  <c r="E33" i="8"/>
  <c r="D23" i="42"/>
  <c r="E23" i="42"/>
  <c r="G26" i="29"/>
  <c r="H26" i="29"/>
  <c r="D27" i="29"/>
  <c r="E27" i="29"/>
  <c r="D29" i="24"/>
  <c r="G28" i="24"/>
  <c r="H28" i="24"/>
  <c r="E29" i="24"/>
  <c r="D23" i="41"/>
  <c r="E23" i="41"/>
  <c r="D24" i="45"/>
  <c r="F34" i="9"/>
  <c r="B34" i="9"/>
  <c r="I21" i="43"/>
  <c r="H31" i="4"/>
  <c r="D32" i="4"/>
  <c r="G31" i="4"/>
  <c r="E32" i="4"/>
  <c r="H22" i="41"/>
  <c r="G23" i="45"/>
  <c r="I23" i="45" s="1"/>
  <c r="D31" i="22"/>
  <c r="G30" i="22"/>
  <c r="H30" i="22"/>
  <c r="E31" i="22"/>
  <c r="D34" i="11"/>
  <c r="G33" i="11"/>
  <c r="H33" i="11"/>
  <c r="E34" i="11"/>
  <c r="G31" i="5"/>
  <c r="D32" i="5"/>
  <c r="H31" i="5"/>
  <c r="E32" i="5"/>
  <c r="G25" i="30"/>
  <c r="D26" i="30"/>
  <c r="H25" i="30"/>
  <c r="E26" i="30"/>
  <c r="G26" i="28"/>
  <c r="D27" i="28"/>
  <c r="H26" i="28"/>
  <c r="E27" i="28"/>
  <c r="D25" i="37"/>
  <c r="E25" i="37"/>
  <c r="F23" i="46"/>
  <c r="G23" i="46" s="1"/>
  <c r="B23" i="46"/>
  <c r="G22" i="41"/>
  <c r="H23" i="39"/>
  <c r="E104" i="46"/>
  <c r="F104" i="46" s="1"/>
  <c r="B104" i="46"/>
  <c r="I33" i="9"/>
  <c r="E24" i="13"/>
  <c r="F24" i="13" s="1"/>
  <c r="H35" i="10"/>
  <c r="G35" i="10"/>
  <c r="D36" i="10"/>
  <c r="E36" i="10"/>
  <c r="D23" i="40"/>
  <c r="E23" i="40"/>
  <c r="H30" i="25"/>
  <c r="D31" i="25"/>
  <c r="G30" i="25"/>
  <c r="E31" i="25"/>
  <c r="J104" i="13"/>
  <c r="G105" i="13"/>
  <c r="D106" i="13"/>
  <c r="E106" i="13" s="1"/>
  <c r="I27" i="27" l="1"/>
  <c r="O88" i="46"/>
  <c r="O89" i="46" s="1"/>
  <c r="E24" i="44"/>
  <c r="F24" i="44"/>
  <c r="B24" i="44"/>
  <c r="I23" i="44"/>
  <c r="F28" i="27"/>
  <c r="B28" i="27"/>
  <c r="J103" i="46"/>
  <c r="D25" i="13"/>
  <c r="G24" i="13"/>
  <c r="H24" i="13"/>
  <c r="I24" i="13" s="1"/>
  <c r="G104" i="46"/>
  <c r="D105" i="46"/>
  <c r="B105" i="46" s="1"/>
  <c r="I23" i="39"/>
  <c r="B27" i="28"/>
  <c r="F27" i="28"/>
  <c r="G34" i="9"/>
  <c r="E35" i="9"/>
  <c r="D35" i="9"/>
  <c r="H34" i="9"/>
  <c r="B23" i="41"/>
  <c r="F23" i="41"/>
  <c r="G23" i="41" s="1"/>
  <c r="H23" i="41"/>
  <c r="I32" i="6"/>
  <c r="F35" i="7"/>
  <c r="B35" i="7"/>
  <c r="B36" i="10"/>
  <c r="F36" i="10"/>
  <c r="B25" i="37"/>
  <c r="F25" i="37"/>
  <c r="H25" i="37" s="1"/>
  <c r="B34" i="11"/>
  <c r="F34" i="11"/>
  <c r="F31" i="22"/>
  <c r="B31" i="22"/>
  <c r="B24" i="45"/>
  <c r="F33" i="8"/>
  <c r="B33" i="8"/>
  <c r="B22" i="43"/>
  <c r="F22" i="43"/>
  <c r="H22" i="43" s="1"/>
  <c r="I26" i="31"/>
  <c r="B31" i="25"/>
  <c r="F31" i="25"/>
  <c r="F32" i="5"/>
  <c r="B32" i="5"/>
  <c r="I30" i="25"/>
  <c r="B32" i="4"/>
  <c r="F32" i="4"/>
  <c r="E24" i="45"/>
  <c r="F24" i="45" s="1"/>
  <c r="I28" i="24"/>
  <c r="F27" i="29"/>
  <c r="B27" i="29"/>
  <c r="B23" i="42"/>
  <c r="F23" i="42"/>
  <c r="I32" i="8"/>
  <c r="F32" i="3"/>
  <c r="B32" i="3"/>
  <c r="B30" i="23"/>
  <c r="F30" i="23"/>
  <c r="I34" i="7"/>
  <c r="B24" i="39"/>
  <c r="F24" i="39"/>
  <c r="G24" i="39" s="1"/>
  <c r="D24" i="46"/>
  <c r="E24" i="46" s="1"/>
  <c r="F26" i="30"/>
  <c r="B26" i="30"/>
  <c r="B29" i="24"/>
  <c r="F29" i="24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B24" i="38"/>
  <c r="F24" i="38"/>
  <c r="H24" i="38" s="1"/>
  <c r="F27" i="31"/>
  <c r="B27" i="31"/>
  <c r="I31" i="3"/>
  <c r="I29" i="23"/>
  <c r="I105" i="13"/>
  <c r="H105" i="13"/>
  <c r="B106" i="13"/>
  <c r="F106" i="13"/>
  <c r="G24" i="44" l="1"/>
  <c r="H24" i="44"/>
  <c r="I24" i="44" s="1"/>
  <c r="D25" i="44"/>
  <c r="I23" i="41"/>
  <c r="G25" i="37"/>
  <c r="I25" i="37" s="1"/>
  <c r="E29" i="27"/>
  <c r="H28" i="27"/>
  <c r="D29" i="27"/>
  <c r="G28" i="27"/>
  <c r="E105" i="46"/>
  <c r="F105" i="46" s="1"/>
  <c r="G105" i="46" s="1"/>
  <c r="D25" i="45"/>
  <c r="G24" i="45"/>
  <c r="H24" i="45"/>
  <c r="D33" i="5"/>
  <c r="G32" i="5"/>
  <c r="H32" i="5"/>
  <c r="E33" i="5"/>
  <c r="D32" i="22"/>
  <c r="G31" i="22"/>
  <c r="H31" i="22"/>
  <c r="I31" i="22" s="1"/>
  <c r="E32" i="22"/>
  <c r="D24" i="40"/>
  <c r="E24" i="40"/>
  <c r="D25" i="39"/>
  <c r="E25" i="39"/>
  <c r="D24" i="42"/>
  <c r="E24" i="42"/>
  <c r="H31" i="25"/>
  <c r="G31" i="25"/>
  <c r="D32" i="25"/>
  <c r="E32" i="25"/>
  <c r="D35" i="11"/>
  <c r="G34" i="11"/>
  <c r="H34" i="11"/>
  <c r="E35" i="11"/>
  <c r="I34" i="9"/>
  <c r="H27" i="28"/>
  <c r="D28" i="28"/>
  <c r="G27" i="28"/>
  <c r="E28" i="28"/>
  <c r="G27" i="31"/>
  <c r="H27" i="31"/>
  <c r="D28" i="31"/>
  <c r="E28" i="31"/>
  <c r="D25" i="38"/>
  <c r="E25" i="38"/>
  <c r="D34" i="6"/>
  <c r="G33" i="6"/>
  <c r="H33" i="6"/>
  <c r="E34" i="6"/>
  <c r="G26" i="30"/>
  <c r="D27" i="30"/>
  <c r="H26" i="30"/>
  <c r="E27" i="30"/>
  <c r="H24" i="39"/>
  <c r="D33" i="3"/>
  <c r="G32" i="3"/>
  <c r="H32" i="3"/>
  <c r="E33" i="3"/>
  <c r="G23" i="42"/>
  <c r="G27" i="29"/>
  <c r="D28" i="29"/>
  <c r="H27" i="29"/>
  <c r="E28" i="29"/>
  <c r="D23" i="43"/>
  <c r="E23" i="43"/>
  <c r="D34" i="8"/>
  <c r="G33" i="8"/>
  <c r="H33" i="8"/>
  <c r="E34" i="8"/>
  <c r="H35" i="7"/>
  <c r="D36" i="7"/>
  <c r="G35" i="7"/>
  <c r="E36" i="7"/>
  <c r="B35" i="9"/>
  <c r="F35" i="9"/>
  <c r="B25" i="13"/>
  <c r="G24" i="38"/>
  <c r="I24" i="38" s="1"/>
  <c r="G23" i="40"/>
  <c r="I23" i="40" s="1"/>
  <c r="D30" i="24"/>
  <c r="H29" i="24"/>
  <c r="G29" i="24"/>
  <c r="E30" i="24"/>
  <c r="B24" i="46"/>
  <c r="F24" i="46"/>
  <c r="G24" i="46" s="1"/>
  <c r="D31" i="23"/>
  <c r="G30" i="23"/>
  <c r="H30" i="23"/>
  <c r="E31" i="23"/>
  <c r="H23" i="42"/>
  <c r="D33" i="4"/>
  <c r="H32" i="4"/>
  <c r="G32" i="4"/>
  <c r="E33" i="4"/>
  <c r="G22" i="43"/>
  <c r="I22" i="43" s="1"/>
  <c r="D26" i="37"/>
  <c r="E26" i="37"/>
  <c r="E37" i="10"/>
  <c r="H36" i="10"/>
  <c r="D37" i="10"/>
  <c r="G36" i="10"/>
  <c r="D24" i="41"/>
  <c r="E24" i="41"/>
  <c r="I104" i="46"/>
  <c r="H104" i="46"/>
  <c r="E25" i="13"/>
  <c r="F25" i="13" s="1"/>
  <c r="D107" i="13"/>
  <c r="E107" i="13" s="1"/>
  <c r="G106" i="13"/>
  <c r="J105" i="13"/>
  <c r="B25" i="44" l="1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B29" i="27"/>
  <c r="D106" i="46"/>
  <c r="B106" i="46" s="1"/>
  <c r="J104" i="46"/>
  <c r="D26" i="13"/>
  <c r="E26" i="13" s="1"/>
  <c r="H25" i="13"/>
  <c r="G25" i="13"/>
  <c r="B33" i="3"/>
  <c r="F33" i="3"/>
  <c r="F28" i="28"/>
  <c r="B28" i="28"/>
  <c r="B31" i="23"/>
  <c r="F31" i="23"/>
  <c r="B30" i="24"/>
  <c r="F30" i="24"/>
  <c r="F34" i="8"/>
  <c r="B34" i="8"/>
  <c r="I24" i="39"/>
  <c r="B34" i="6"/>
  <c r="F34" i="6"/>
  <c r="B28" i="31"/>
  <c r="F28" i="31"/>
  <c r="B32" i="25"/>
  <c r="F32" i="25"/>
  <c r="F24" i="42"/>
  <c r="G24" i="42" s="1"/>
  <c r="B24" i="42"/>
  <c r="F24" i="40"/>
  <c r="H24" i="40" s="1"/>
  <c r="B24" i="40"/>
  <c r="F27" i="30"/>
  <c r="B27" i="30"/>
  <c r="B24" i="41"/>
  <c r="F24" i="41"/>
  <c r="I23" i="42"/>
  <c r="B28" i="29"/>
  <c r="F28" i="29"/>
  <c r="I32" i="3"/>
  <c r="I27" i="31"/>
  <c r="B35" i="11"/>
  <c r="F35" i="11"/>
  <c r="B25" i="45"/>
  <c r="F33" i="4"/>
  <c r="B33" i="4"/>
  <c r="D25" i="46"/>
  <c r="E25" i="46" s="1"/>
  <c r="H105" i="46"/>
  <c r="I105" i="46"/>
  <c r="F37" i="10"/>
  <c r="B37" i="10"/>
  <c r="F26" i="37"/>
  <c r="B26" i="37"/>
  <c r="I30" i="23"/>
  <c r="H24" i="46"/>
  <c r="I24" i="46" s="1"/>
  <c r="E36" i="9"/>
  <c r="D36" i="9"/>
  <c r="G35" i="9"/>
  <c r="H35" i="9"/>
  <c r="B36" i="7"/>
  <c r="F36" i="7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B32" i="22"/>
  <c r="B33" i="5"/>
  <c r="F33" i="5"/>
  <c r="E25" i="45"/>
  <c r="F25" i="45" s="1"/>
  <c r="H106" i="13"/>
  <c r="I106" i="13"/>
  <c r="F107" i="13"/>
  <c r="B107" i="13"/>
  <c r="E106" i="46" l="1"/>
  <c r="F106" i="46" s="1"/>
  <c r="G106" i="46" s="1"/>
  <c r="D26" i="44"/>
  <c r="H25" i="44"/>
  <c r="G25" i="44"/>
  <c r="G24" i="40"/>
  <c r="I24" i="40" s="1"/>
  <c r="H24" i="42"/>
  <c r="G29" i="27"/>
  <c r="E30" i="27"/>
  <c r="H29" i="27"/>
  <c r="D30" i="27"/>
  <c r="D26" i="45"/>
  <c r="E26" i="45" s="1"/>
  <c r="H25" i="45"/>
  <c r="G25" i="45"/>
  <c r="D24" i="43"/>
  <c r="E24" i="43"/>
  <c r="D27" i="37"/>
  <c r="E27" i="37"/>
  <c r="D34" i="4"/>
  <c r="G33" i="4"/>
  <c r="H33" i="4"/>
  <c r="E34" i="4"/>
  <c r="G28" i="31"/>
  <c r="H28" i="31"/>
  <c r="D29" i="31"/>
  <c r="E29" i="31"/>
  <c r="D31" i="24"/>
  <c r="G30" i="24"/>
  <c r="H30" i="24"/>
  <c r="E31" i="24"/>
  <c r="D33" i="22"/>
  <c r="G32" i="22"/>
  <c r="H32" i="22"/>
  <c r="E33" i="22"/>
  <c r="D26" i="39"/>
  <c r="E26" i="39"/>
  <c r="D26" i="38"/>
  <c r="E26" i="38"/>
  <c r="H23" i="43"/>
  <c r="D37" i="7"/>
  <c r="G36" i="7"/>
  <c r="H36" i="7"/>
  <c r="E37" i="7"/>
  <c r="B36" i="9"/>
  <c r="F36" i="9"/>
  <c r="H26" i="37"/>
  <c r="D36" i="11"/>
  <c r="G35" i="11"/>
  <c r="H35" i="11"/>
  <c r="E36" i="11"/>
  <c r="D29" i="29"/>
  <c r="G28" i="29"/>
  <c r="H28" i="29"/>
  <c r="E29" i="29"/>
  <c r="G27" i="30"/>
  <c r="D28" i="30"/>
  <c r="H27" i="30"/>
  <c r="E28" i="30"/>
  <c r="D25" i="42"/>
  <c r="E25" i="42"/>
  <c r="H28" i="28"/>
  <c r="G28" i="28"/>
  <c r="D29" i="28"/>
  <c r="E29" i="28"/>
  <c r="I25" i="13"/>
  <c r="D25" i="41"/>
  <c r="E25" i="41"/>
  <c r="G33" i="5"/>
  <c r="H33" i="5"/>
  <c r="D34" i="5"/>
  <c r="E34" i="5"/>
  <c r="G25" i="39"/>
  <c r="I25" i="39" s="1"/>
  <c r="H25" i="38"/>
  <c r="I25" i="38" s="1"/>
  <c r="E38" i="10"/>
  <c r="D38" i="10"/>
  <c r="G37" i="10"/>
  <c r="H37" i="10"/>
  <c r="F25" i="46"/>
  <c r="G25" i="46" s="1"/>
  <c r="B25" i="46"/>
  <c r="H24" i="41"/>
  <c r="D25" i="40"/>
  <c r="E25" i="40"/>
  <c r="I24" i="42"/>
  <c r="D35" i="6"/>
  <c r="G34" i="6"/>
  <c r="H34" i="6"/>
  <c r="E35" i="6"/>
  <c r="H31" i="23"/>
  <c r="D32" i="23"/>
  <c r="G31" i="23"/>
  <c r="E32" i="23"/>
  <c r="D34" i="3"/>
  <c r="G33" i="3"/>
  <c r="H33" i="3"/>
  <c r="E34" i="3"/>
  <c r="G23" i="43"/>
  <c r="I35" i="9"/>
  <c r="G26" i="37"/>
  <c r="J105" i="46"/>
  <c r="G24" i="41"/>
  <c r="G32" i="25"/>
  <c r="D33" i="25"/>
  <c r="H32" i="25"/>
  <c r="E33" i="25"/>
  <c r="D35" i="8"/>
  <c r="G34" i="8"/>
  <c r="H34" i="8"/>
  <c r="E35" i="8"/>
  <c r="B26" i="13"/>
  <c r="F26" i="13"/>
  <c r="G26" i="13" s="1"/>
  <c r="J106" i="13"/>
  <c r="G107" i="13"/>
  <c r="D108" i="13"/>
  <c r="E108" i="13" s="1"/>
  <c r="I36" i="7" l="1"/>
  <c r="D107" i="46"/>
  <c r="B107" i="46" s="1"/>
  <c r="I25" i="44"/>
  <c r="E26" i="44"/>
  <c r="F26" i="44" s="1"/>
  <c r="B26" i="44"/>
  <c r="I29" i="27"/>
  <c r="I28" i="31"/>
  <c r="I32" i="22"/>
  <c r="I34" i="8"/>
  <c r="B30" i="27"/>
  <c r="F30" i="27"/>
  <c r="I26" i="37"/>
  <c r="I37" i="10"/>
  <c r="I33" i="5"/>
  <c r="I27" i="30"/>
  <c r="I28" i="29"/>
  <c r="I35" i="11"/>
  <c r="I33" i="3"/>
  <c r="I34" i="6"/>
  <c r="I24" i="41"/>
  <c r="B35" i="8"/>
  <c r="F35" i="8"/>
  <c r="D27" i="13"/>
  <c r="E27" i="13" s="1"/>
  <c r="F32" i="23"/>
  <c r="B32" i="23"/>
  <c r="F25" i="40"/>
  <c r="H25" i="40" s="1"/>
  <c r="B25" i="40"/>
  <c r="I28" i="28"/>
  <c r="G36" i="9"/>
  <c r="E37" i="9"/>
  <c r="H36" i="9"/>
  <c r="D37" i="9"/>
  <c r="B26" i="38"/>
  <c r="F26" i="38"/>
  <c r="H26" i="38" s="1"/>
  <c r="B31" i="24"/>
  <c r="F31" i="24"/>
  <c r="B34" i="4"/>
  <c r="F34" i="4"/>
  <c r="F24" i="43"/>
  <c r="B24" i="43"/>
  <c r="B26" i="45"/>
  <c r="F26" i="45"/>
  <c r="F34" i="5"/>
  <c r="B34" i="5"/>
  <c r="H26" i="13"/>
  <c r="I26" i="13" s="1"/>
  <c r="I32" i="25"/>
  <c r="F34" i="3"/>
  <c r="B34" i="3"/>
  <c r="I31" i="23"/>
  <c r="B35" i="6"/>
  <c r="F35" i="6"/>
  <c r="F28" i="30"/>
  <c r="B28" i="30"/>
  <c r="B37" i="7"/>
  <c r="F37" i="7"/>
  <c r="D26" i="46"/>
  <c r="B25" i="41"/>
  <c r="F25" i="41"/>
  <c r="H25" i="41" s="1"/>
  <c r="B33" i="25"/>
  <c r="F33" i="25"/>
  <c r="H25" i="46"/>
  <c r="I25" i="46" s="1"/>
  <c r="B38" i="10"/>
  <c r="F38" i="10"/>
  <c r="B29" i="28"/>
  <c r="F29" i="28"/>
  <c r="F25" i="42"/>
  <c r="B25" i="42"/>
  <c r="F29" i="29"/>
  <c r="B29" i="29"/>
  <c r="F36" i="11"/>
  <c r="B36" i="11"/>
  <c r="I23" i="43"/>
  <c r="F26" i="39"/>
  <c r="H26" i="39" s="1"/>
  <c r="B26" i="39"/>
  <c r="F33" i="22"/>
  <c r="B33" i="22"/>
  <c r="I30" i="24"/>
  <c r="F29" i="31"/>
  <c r="B29" i="31"/>
  <c r="I33" i="4"/>
  <c r="F27" i="37"/>
  <c r="B27" i="37"/>
  <c r="I25" i="45"/>
  <c r="H106" i="46"/>
  <c r="I106" i="46"/>
  <c r="H107" i="13"/>
  <c r="I107" i="13"/>
  <c r="B108" i="13"/>
  <c r="F108" i="13"/>
  <c r="E107" i="46" l="1"/>
  <c r="F107" i="46" s="1"/>
  <c r="G107" i="46" s="1"/>
  <c r="H26" i="44"/>
  <c r="G26" i="44"/>
  <c r="I26" i="44" s="1"/>
  <c r="D27" i="44"/>
  <c r="G26" i="38"/>
  <c r="I26" i="38" s="1"/>
  <c r="G26" i="39"/>
  <c r="I26" i="39" s="1"/>
  <c r="H30" i="27"/>
  <c r="E31" i="27"/>
  <c r="D31" i="27"/>
  <c r="G30" i="27"/>
  <c r="E28" i="37"/>
  <c r="D28" i="37"/>
  <c r="H37" i="7"/>
  <c r="D38" i="7"/>
  <c r="G37" i="7"/>
  <c r="E38" i="7"/>
  <c r="H34" i="3"/>
  <c r="G34" i="3"/>
  <c r="D35" i="3"/>
  <c r="E35" i="3"/>
  <c r="D25" i="43"/>
  <c r="E25" i="43"/>
  <c r="G27" i="37"/>
  <c r="D37" i="11"/>
  <c r="G36" i="11"/>
  <c r="H36" i="11"/>
  <c r="E37" i="11"/>
  <c r="D26" i="42"/>
  <c r="E26" i="42"/>
  <c r="G33" i="25"/>
  <c r="H33" i="25"/>
  <c r="D34" i="25"/>
  <c r="E34" i="25"/>
  <c r="D26" i="41"/>
  <c r="E26" i="41"/>
  <c r="D27" i="45"/>
  <c r="G24" i="43"/>
  <c r="G34" i="4"/>
  <c r="D35" i="4"/>
  <c r="H34" i="4"/>
  <c r="E35" i="4"/>
  <c r="B37" i="9"/>
  <c r="F37" i="9"/>
  <c r="D26" i="40"/>
  <c r="E26" i="40"/>
  <c r="G29" i="28"/>
  <c r="H29" i="28"/>
  <c r="D30" i="28"/>
  <c r="E30" i="28"/>
  <c r="B26" i="46"/>
  <c r="G35" i="6"/>
  <c r="D36" i="6"/>
  <c r="H35" i="6"/>
  <c r="E36" i="6"/>
  <c r="G34" i="5"/>
  <c r="D35" i="5"/>
  <c r="H34" i="5"/>
  <c r="E35" i="5"/>
  <c r="J106" i="46"/>
  <c r="H27" i="37"/>
  <c r="G33" i="22"/>
  <c r="D34" i="22"/>
  <c r="H33" i="22"/>
  <c r="E34" i="22"/>
  <c r="D27" i="39"/>
  <c r="E27" i="39"/>
  <c r="G25" i="42"/>
  <c r="E39" i="10"/>
  <c r="G38" i="10"/>
  <c r="H38" i="10"/>
  <c r="D39" i="10"/>
  <c r="H26" i="45"/>
  <c r="D27" i="38"/>
  <c r="E27" i="38"/>
  <c r="I36" i="9"/>
  <c r="G25" i="40"/>
  <c r="I25" i="40" s="1"/>
  <c r="H35" i="8"/>
  <c r="D36" i="8"/>
  <c r="G35" i="8"/>
  <c r="E36" i="8"/>
  <c r="B27" i="13"/>
  <c r="F27" i="13"/>
  <c r="H29" i="31"/>
  <c r="D30" i="31"/>
  <c r="G29" i="31"/>
  <c r="E30" i="31"/>
  <c r="D30" i="29"/>
  <c r="H29" i="29"/>
  <c r="G29" i="29"/>
  <c r="E30" i="29"/>
  <c r="H25" i="42"/>
  <c r="G25" i="41"/>
  <c r="I25" i="41" s="1"/>
  <c r="E26" i="46"/>
  <c r="F26" i="46" s="1"/>
  <c r="D29" i="30"/>
  <c r="H28" i="30"/>
  <c r="G28" i="30"/>
  <c r="E29" i="30"/>
  <c r="G26" i="45"/>
  <c r="H24" i="43"/>
  <c r="G31" i="24"/>
  <c r="D32" i="24"/>
  <c r="H31" i="24"/>
  <c r="E32" i="24"/>
  <c r="D33" i="23"/>
  <c r="G32" i="23"/>
  <c r="H32" i="23"/>
  <c r="E33" i="23"/>
  <c r="J107" i="13"/>
  <c r="G108" i="13"/>
  <c r="D109" i="13"/>
  <c r="E109" i="13" s="1"/>
  <c r="I33" i="22" l="1"/>
  <c r="I34" i="4"/>
  <c r="D108" i="46"/>
  <c r="E108" i="46" s="1"/>
  <c r="F108" i="46" s="1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B31" i="27"/>
  <c r="D27" i="46"/>
  <c r="G26" i="46"/>
  <c r="H26" i="46"/>
  <c r="B32" i="24"/>
  <c r="F32" i="24"/>
  <c r="F30" i="29"/>
  <c r="B30" i="29"/>
  <c r="F39" i="10"/>
  <c r="B39" i="10"/>
  <c r="F30" i="28"/>
  <c r="B30" i="28"/>
  <c r="B26" i="40"/>
  <c r="F26" i="40"/>
  <c r="H26" i="40" s="1"/>
  <c r="B27" i="45"/>
  <c r="B25" i="43"/>
  <c r="F25" i="43"/>
  <c r="I34" i="3"/>
  <c r="D28" i="13"/>
  <c r="I24" i="43"/>
  <c r="I28" i="30"/>
  <c r="H27" i="13"/>
  <c r="B36" i="8"/>
  <c r="F36" i="8"/>
  <c r="B34" i="22"/>
  <c r="F34" i="22"/>
  <c r="F35" i="5"/>
  <c r="B35" i="5"/>
  <c r="F36" i="6"/>
  <c r="B36" i="6"/>
  <c r="G37" i="9"/>
  <c r="E38" i="9"/>
  <c r="H37" i="9"/>
  <c r="D38" i="9"/>
  <c r="B35" i="4"/>
  <c r="F35" i="4"/>
  <c r="E27" i="45"/>
  <c r="F27" i="45" s="1"/>
  <c r="F34" i="25"/>
  <c r="B34" i="25"/>
  <c r="B26" i="42"/>
  <c r="F26" i="42"/>
  <c r="H26" i="42" s="1"/>
  <c r="F37" i="11"/>
  <c r="B37" i="11"/>
  <c r="F30" i="31"/>
  <c r="B30" i="31"/>
  <c r="B26" i="41"/>
  <c r="F26" i="41"/>
  <c r="H26" i="41" s="1"/>
  <c r="B38" i="7"/>
  <c r="F38" i="7"/>
  <c r="B33" i="23"/>
  <c r="F33" i="23"/>
  <c r="I32" i="23"/>
  <c r="I31" i="24"/>
  <c r="F29" i="30"/>
  <c r="B29" i="30"/>
  <c r="G27" i="13"/>
  <c r="I35" i="8"/>
  <c r="B27" i="38"/>
  <c r="F27" i="38"/>
  <c r="G27" i="38" s="1"/>
  <c r="B27" i="39"/>
  <c r="F27" i="39"/>
  <c r="H27" i="39" s="1"/>
  <c r="I33" i="25"/>
  <c r="F35" i="3"/>
  <c r="B35" i="3"/>
  <c r="B28" i="37"/>
  <c r="F28" i="37"/>
  <c r="H107" i="46"/>
  <c r="I107" i="46"/>
  <c r="I108" i="13"/>
  <c r="H108" i="13"/>
  <c r="F109" i="13"/>
  <c r="B109" i="13"/>
  <c r="B108" i="46" l="1"/>
  <c r="G26" i="42"/>
  <c r="H27" i="44"/>
  <c r="D28" i="44"/>
  <c r="G27" i="44"/>
  <c r="I26" i="46"/>
  <c r="D32" i="27"/>
  <c r="E32" i="27"/>
  <c r="H31" i="27"/>
  <c r="G31" i="27"/>
  <c r="D28" i="45"/>
  <c r="E28" i="45" s="1"/>
  <c r="H27" i="45"/>
  <c r="G27" i="45"/>
  <c r="D38" i="11"/>
  <c r="G37" i="11"/>
  <c r="H37" i="11"/>
  <c r="E38" i="11"/>
  <c r="D26" i="43"/>
  <c r="E26" i="43"/>
  <c r="D28" i="39"/>
  <c r="E28" i="39"/>
  <c r="D28" i="38"/>
  <c r="E28" i="38"/>
  <c r="G35" i="5"/>
  <c r="D36" i="5"/>
  <c r="H35" i="5"/>
  <c r="E36" i="5"/>
  <c r="B28" i="13"/>
  <c r="G25" i="43"/>
  <c r="G26" i="40"/>
  <c r="I26" i="40" s="1"/>
  <c r="G30" i="28"/>
  <c r="D31" i="28"/>
  <c r="H30" i="28"/>
  <c r="E31" i="28"/>
  <c r="G30" i="29"/>
  <c r="D31" i="29"/>
  <c r="H30" i="29"/>
  <c r="E31" i="29"/>
  <c r="G108" i="46"/>
  <c r="D109" i="46"/>
  <c r="B109" i="46" s="1"/>
  <c r="G35" i="4"/>
  <c r="H35" i="4"/>
  <c r="D36" i="4"/>
  <c r="E36" i="4"/>
  <c r="D37" i="8"/>
  <c r="H36" i="8"/>
  <c r="G36" i="8"/>
  <c r="E37" i="8"/>
  <c r="D29" i="37"/>
  <c r="E29" i="37"/>
  <c r="G28" i="37"/>
  <c r="H35" i="3"/>
  <c r="D36" i="3"/>
  <c r="G35" i="3"/>
  <c r="E36" i="3"/>
  <c r="H27" i="38"/>
  <c r="I27" i="38" s="1"/>
  <c r="H33" i="23"/>
  <c r="G33" i="23"/>
  <c r="D34" i="23"/>
  <c r="E34" i="23"/>
  <c r="D27" i="41"/>
  <c r="E27" i="41"/>
  <c r="I26" i="42"/>
  <c r="G34" i="25"/>
  <c r="D35" i="25"/>
  <c r="H34" i="25"/>
  <c r="E35" i="25"/>
  <c r="B38" i="9"/>
  <c r="F38" i="9"/>
  <c r="G34" i="22"/>
  <c r="D35" i="22"/>
  <c r="H34" i="22"/>
  <c r="E35" i="22"/>
  <c r="I27" i="13"/>
  <c r="E28" i="13"/>
  <c r="F28" i="13" s="1"/>
  <c r="H28" i="13" s="1"/>
  <c r="H32" i="24"/>
  <c r="D33" i="24"/>
  <c r="G32" i="24"/>
  <c r="E33" i="24"/>
  <c r="B27" i="46"/>
  <c r="D39" i="7"/>
  <c r="G38" i="7"/>
  <c r="H38" i="7"/>
  <c r="E39" i="7"/>
  <c r="D27" i="40"/>
  <c r="E27" i="40"/>
  <c r="J107" i="46"/>
  <c r="H28" i="37"/>
  <c r="G27" i="39"/>
  <c r="I27" i="39" s="1"/>
  <c r="D30" i="30"/>
  <c r="G29" i="30"/>
  <c r="H29" i="30"/>
  <c r="E30" i="30"/>
  <c r="G26" i="41"/>
  <c r="I26" i="41" s="1"/>
  <c r="H30" i="31"/>
  <c r="D31" i="31"/>
  <c r="G30" i="31"/>
  <c r="E31" i="31"/>
  <c r="D27" i="42"/>
  <c r="E27" i="42"/>
  <c r="I37" i="9"/>
  <c r="H36" i="6"/>
  <c r="G36" i="6"/>
  <c r="D37" i="6"/>
  <c r="E37" i="6"/>
  <c r="H25" i="43"/>
  <c r="I25" i="43" s="1"/>
  <c r="D40" i="10"/>
  <c r="H39" i="10"/>
  <c r="G39" i="10"/>
  <c r="E40" i="10"/>
  <c r="E27" i="46"/>
  <c r="F27" i="46" s="1"/>
  <c r="G109" i="13"/>
  <c r="D110" i="13"/>
  <c r="E110" i="13" s="1"/>
  <c r="J108" i="13"/>
  <c r="I27" i="44" l="1"/>
  <c r="E28" i="44"/>
  <c r="B28" i="44"/>
  <c r="F28" i="44"/>
  <c r="G28" i="44" s="1"/>
  <c r="I39" i="10"/>
  <c r="I30" i="31"/>
  <c r="I34" i="22"/>
  <c r="I35" i="4"/>
  <c r="I28" i="37"/>
  <c r="I32" i="24"/>
  <c r="I37" i="11"/>
  <c r="F32" i="27"/>
  <c r="B32" i="27"/>
  <c r="I33" i="23"/>
  <c r="I30" i="29"/>
  <c r="I30" i="28"/>
  <c r="I35" i="3"/>
  <c r="I31" i="27"/>
  <c r="E109" i="46"/>
  <c r="F109" i="46" s="1"/>
  <c r="G109" i="46" s="1"/>
  <c r="D28" i="46"/>
  <c r="E28" i="46" s="1"/>
  <c r="H27" i="46"/>
  <c r="G27" i="46"/>
  <c r="B40" i="10"/>
  <c r="F40" i="10"/>
  <c r="F27" i="42"/>
  <c r="H27" i="42" s="1"/>
  <c r="B27" i="42"/>
  <c r="B28" i="39"/>
  <c r="F28" i="39"/>
  <c r="B30" i="30"/>
  <c r="F30" i="30"/>
  <c r="F35" i="22"/>
  <c r="B35" i="22"/>
  <c r="B34" i="23"/>
  <c r="F34" i="23"/>
  <c r="B36" i="4"/>
  <c r="F36" i="4"/>
  <c r="I27" i="45"/>
  <c r="B27" i="40"/>
  <c r="F27" i="40"/>
  <c r="G27" i="40" s="1"/>
  <c r="B36" i="5"/>
  <c r="F36" i="5"/>
  <c r="I36" i="6"/>
  <c r="I38" i="7"/>
  <c r="I34" i="25"/>
  <c r="I36" i="8"/>
  <c r="I108" i="46"/>
  <c r="H108" i="46"/>
  <c r="F31" i="29"/>
  <c r="B31" i="29"/>
  <c r="B31" i="28"/>
  <c r="F31" i="28"/>
  <c r="F28" i="38"/>
  <c r="G28" i="38" s="1"/>
  <c r="B28" i="38"/>
  <c r="F26" i="43"/>
  <c r="H26" i="43" s="1"/>
  <c r="B26" i="43"/>
  <c r="F38" i="11"/>
  <c r="B38" i="11"/>
  <c r="B39" i="7"/>
  <c r="F39" i="7"/>
  <c r="D29" i="13"/>
  <c r="E29" i="13" s="1"/>
  <c r="B37" i="6"/>
  <c r="F37" i="6"/>
  <c r="F31" i="31"/>
  <c r="B31" i="31"/>
  <c r="I29" i="30"/>
  <c r="F33" i="24"/>
  <c r="B33" i="24"/>
  <c r="D39" i="9"/>
  <c r="E39" i="9"/>
  <c r="G38" i="9"/>
  <c r="H38" i="9"/>
  <c r="F35" i="25"/>
  <c r="B35" i="25"/>
  <c r="F27" i="41"/>
  <c r="G27" i="41" s="1"/>
  <c r="B27" i="41"/>
  <c r="B36" i="3"/>
  <c r="F36" i="3"/>
  <c r="B29" i="37"/>
  <c r="F29" i="37"/>
  <c r="H29" i="37" s="1"/>
  <c r="F37" i="8"/>
  <c r="B37" i="8"/>
  <c r="G28" i="13"/>
  <c r="I28" i="13" s="1"/>
  <c r="I35" i="5"/>
  <c r="B28" i="45"/>
  <c r="F28" i="45"/>
  <c r="H28" i="45" s="1"/>
  <c r="F110" i="13"/>
  <c r="B110" i="13"/>
  <c r="H109" i="13"/>
  <c r="I109" i="13"/>
  <c r="H28" i="44" l="1"/>
  <c r="I28" i="44" s="1"/>
  <c r="D29" i="44"/>
  <c r="I38" i="9"/>
  <c r="H28" i="38"/>
  <c r="I28" i="38" s="1"/>
  <c r="G29" i="37"/>
  <c r="H27" i="41"/>
  <c r="I27" i="41" s="1"/>
  <c r="H27" i="40"/>
  <c r="I27" i="40" s="1"/>
  <c r="D33" i="27"/>
  <c r="E33" i="27"/>
  <c r="G32" i="27"/>
  <c r="H32" i="27"/>
  <c r="D110" i="46"/>
  <c r="E110" i="46" s="1"/>
  <c r="F110" i="46" s="1"/>
  <c r="J108" i="46"/>
  <c r="H36" i="3"/>
  <c r="G36" i="3"/>
  <c r="D37" i="3"/>
  <c r="E37" i="3"/>
  <c r="G36" i="5"/>
  <c r="H36" i="5"/>
  <c r="D37" i="5"/>
  <c r="E37" i="5"/>
  <c r="H35" i="22"/>
  <c r="G35" i="22"/>
  <c r="D36" i="22"/>
  <c r="E36" i="22"/>
  <c r="H109" i="46"/>
  <c r="I109" i="46"/>
  <c r="D29" i="45"/>
  <c r="E29" i="45" s="1"/>
  <c r="I29" i="37"/>
  <c r="G33" i="24"/>
  <c r="D34" i="24"/>
  <c r="H33" i="24"/>
  <c r="E34" i="24"/>
  <c r="D32" i="31"/>
  <c r="G31" i="31"/>
  <c r="H31" i="31"/>
  <c r="E32" i="31"/>
  <c r="F29" i="13"/>
  <c r="B29" i="13"/>
  <c r="G38" i="11"/>
  <c r="D39" i="11"/>
  <c r="H38" i="11"/>
  <c r="E39" i="11"/>
  <c r="D27" i="43"/>
  <c r="E27" i="43"/>
  <c r="G31" i="29"/>
  <c r="D32" i="29"/>
  <c r="H31" i="29"/>
  <c r="E32" i="29"/>
  <c r="H34" i="23"/>
  <c r="G34" i="23"/>
  <c r="D35" i="23"/>
  <c r="E35" i="23"/>
  <c r="H30" i="30"/>
  <c r="G30" i="30"/>
  <c r="D31" i="30"/>
  <c r="E31" i="30"/>
  <c r="G40" i="10"/>
  <c r="H40" i="10"/>
  <c r="E41" i="10"/>
  <c r="D41" i="10"/>
  <c r="I27" i="46"/>
  <c r="D29" i="39"/>
  <c r="E29" i="39"/>
  <c r="G28" i="45"/>
  <c r="I28" i="45" s="1"/>
  <c r="E30" i="37"/>
  <c r="D30" i="37"/>
  <c r="G37" i="6"/>
  <c r="D38" i="6"/>
  <c r="H37" i="6"/>
  <c r="E38" i="6"/>
  <c r="H39" i="7"/>
  <c r="D40" i="7"/>
  <c r="G39" i="7"/>
  <c r="E40" i="7"/>
  <c r="H31" i="28"/>
  <c r="G31" i="28"/>
  <c r="D32" i="28"/>
  <c r="E32" i="28"/>
  <c r="H28" i="39"/>
  <c r="D28" i="42"/>
  <c r="E28" i="42"/>
  <c r="H37" i="8"/>
  <c r="D38" i="8"/>
  <c r="G37" i="8"/>
  <c r="E38" i="8"/>
  <c r="D28" i="41"/>
  <c r="E28" i="41"/>
  <c r="H35" i="25"/>
  <c r="G35" i="25"/>
  <c r="D36" i="25"/>
  <c r="E36" i="25"/>
  <c r="F39" i="9"/>
  <c r="B39" i="9"/>
  <c r="G26" i="43"/>
  <c r="I26" i="43" s="1"/>
  <c r="D29" i="38"/>
  <c r="E29" i="38"/>
  <c r="D28" i="40"/>
  <c r="E28" i="40"/>
  <c r="G36" i="4"/>
  <c r="D37" i="4"/>
  <c r="H36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B110" i="46" l="1"/>
  <c r="B29" i="44"/>
  <c r="E29" i="44"/>
  <c r="F29" i="44" s="1"/>
  <c r="I36" i="4"/>
  <c r="I36" i="5"/>
  <c r="I35" i="25"/>
  <c r="I30" i="30"/>
  <c r="I34" i="23"/>
  <c r="I32" i="27"/>
  <c r="I39" i="7"/>
  <c r="B33" i="27"/>
  <c r="F33" i="27"/>
  <c r="I31" i="29"/>
  <c r="I31" i="31"/>
  <c r="I36" i="3"/>
  <c r="I28" i="39"/>
  <c r="I31" i="28"/>
  <c r="J109" i="46"/>
  <c r="G110" i="46"/>
  <c r="D111" i="46"/>
  <c r="F37" i="4"/>
  <c r="B37" i="4"/>
  <c r="E40" i="9"/>
  <c r="H39" i="9"/>
  <c r="D40" i="9"/>
  <c r="G39" i="9"/>
  <c r="B31" i="30"/>
  <c r="F31" i="30"/>
  <c r="B27" i="43"/>
  <c r="F27" i="43"/>
  <c r="H27" i="43" s="1"/>
  <c r="D30" i="13"/>
  <c r="E30" i="13" s="1"/>
  <c r="B37" i="3"/>
  <c r="F37" i="3"/>
  <c r="F29" i="38"/>
  <c r="B29" i="38"/>
  <c r="F38" i="8"/>
  <c r="B38" i="8"/>
  <c r="B30" i="37"/>
  <c r="F30" i="37"/>
  <c r="H30" i="37" s="1"/>
  <c r="I40" i="10"/>
  <c r="B32" i="29"/>
  <c r="F32" i="29"/>
  <c r="I35" i="22"/>
  <c r="D29" i="46"/>
  <c r="E29" i="46" s="1"/>
  <c r="H28" i="46"/>
  <c r="I28" i="46" s="1"/>
  <c r="B36" i="25"/>
  <c r="F36" i="25"/>
  <c r="B28" i="41"/>
  <c r="F28" i="41"/>
  <c r="G28" i="41" s="1"/>
  <c r="I37" i="8"/>
  <c r="B32" i="28"/>
  <c r="F32" i="28"/>
  <c r="I37" i="6"/>
  <c r="I38" i="11"/>
  <c r="G29" i="13"/>
  <c r="I33" i="24"/>
  <c r="F29" i="39"/>
  <c r="G29" i="39" s="1"/>
  <c r="B29" i="39"/>
  <c r="B35" i="23"/>
  <c r="F35" i="23"/>
  <c r="B32" i="31"/>
  <c r="F32" i="31"/>
  <c r="B28" i="40"/>
  <c r="F28" i="40"/>
  <c r="H28" i="40" s="1"/>
  <c r="B28" i="42"/>
  <c r="F28" i="42"/>
  <c r="G28" i="42" s="1"/>
  <c r="B40" i="7"/>
  <c r="F40" i="7"/>
  <c r="F38" i="6"/>
  <c r="B38" i="6"/>
  <c r="B41" i="10"/>
  <c r="F41" i="10"/>
  <c r="F39" i="11"/>
  <c r="B39" i="11"/>
  <c r="H29" i="13"/>
  <c r="I29" i="13" s="1"/>
  <c r="F34" i="24"/>
  <c r="B34" i="24"/>
  <c r="F29" i="45"/>
  <c r="B29" i="45"/>
  <c r="B36" i="22"/>
  <c r="F36" i="22"/>
  <c r="F37" i="5"/>
  <c r="B37" i="5"/>
  <c r="H110" i="13"/>
  <c r="I110" i="13"/>
  <c r="B111" i="13"/>
  <c r="F111" i="13"/>
  <c r="H29" i="44" l="1"/>
  <c r="D30" i="44"/>
  <c r="G29" i="44"/>
  <c r="G30" i="37"/>
  <c r="I30" i="37" s="1"/>
  <c r="H28" i="41"/>
  <c r="G27" i="43"/>
  <c r="I27" i="43" s="1"/>
  <c r="H29" i="39"/>
  <c r="I29" i="39" s="1"/>
  <c r="E34" i="27"/>
  <c r="G33" i="27"/>
  <c r="H33" i="27"/>
  <c r="D34" i="27"/>
  <c r="D30" i="45"/>
  <c r="E30" i="45" s="1"/>
  <c r="I28" i="41"/>
  <c r="G39" i="11"/>
  <c r="H39" i="11"/>
  <c r="I39" i="11" s="1"/>
  <c r="D40" i="11"/>
  <c r="E40" i="11"/>
  <c r="D39" i="6"/>
  <c r="H38" i="6"/>
  <c r="G38" i="6"/>
  <c r="E39" i="6"/>
  <c r="D29" i="42"/>
  <c r="E29" i="42"/>
  <c r="G32" i="29"/>
  <c r="D33" i="29"/>
  <c r="H32" i="29"/>
  <c r="E33" i="29"/>
  <c r="G38" i="8"/>
  <c r="D39" i="8"/>
  <c r="H38" i="8"/>
  <c r="E39" i="8"/>
  <c r="D30" i="38"/>
  <c r="E30" i="38"/>
  <c r="F30" i="13"/>
  <c r="H30" i="13" s="1"/>
  <c r="B30" i="13"/>
  <c r="F40" i="9"/>
  <c r="B40" i="9"/>
  <c r="H37" i="4"/>
  <c r="D38" i="4"/>
  <c r="G37" i="4"/>
  <c r="E38" i="4"/>
  <c r="D33" i="31"/>
  <c r="H32" i="31"/>
  <c r="G32" i="31"/>
  <c r="E33" i="31"/>
  <c r="D33" i="28"/>
  <c r="G32" i="28"/>
  <c r="H32" i="28"/>
  <c r="E33" i="28"/>
  <c r="D38" i="5"/>
  <c r="H37" i="5"/>
  <c r="G37" i="5"/>
  <c r="E38" i="5"/>
  <c r="G29" i="45"/>
  <c r="H34" i="24"/>
  <c r="G34" i="24"/>
  <c r="D35" i="24"/>
  <c r="E35" i="24"/>
  <c r="G41" i="10"/>
  <c r="D42" i="10"/>
  <c r="E42" i="10" s="1"/>
  <c r="H41" i="10"/>
  <c r="D41" i="7"/>
  <c r="G40" i="7"/>
  <c r="H40" i="7"/>
  <c r="E41" i="7"/>
  <c r="D36" i="23"/>
  <c r="H35" i="23"/>
  <c r="G35" i="23"/>
  <c r="E36" i="23"/>
  <c r="D30" i="39"/>
  <c r="E30" i="39"/>
  <c r="E31" i="37"/>
  <c r="D31" i="37"/>
  <c r="H29" i="38"/>
  <c r="H37" i="3"/>
  <c r="D38" i="3"/>
  <c r="G37" i="3"/>
  <c r="E38" i="3"/>
  <c r="D28" i="43"/>
  <c r="E28" i="43"/>
  <c r="H31" i="30"/>
  <c r="D32" i="30"/>
  <c r="G31" i="30"/>
  <c r="E32" i="30"/>
  <c r="I39" i="9"/>
  <c r="E111" i="46"/>
  <c r="F111" i="46" s="1"/>
  <c r="B111" i="46"/>
  <c r="D29" i="40"/>
  <c r="E29" i="40"/>
  <c r="H36" i="22"/>
  <c r="D37" i="22"/>
  <c r="G36" i="22"/>
  <c r="E37" i="22"/>
  <c r="H29" i="45"/>
  <c r="I29" i="45" s="1"/>
  <c r="H28" i="42"/>
  <c r="I28" i="42" s="1"/>
  <c r="G28" i="40"/>
  <c r="I28" i="40" s="1"/>
  <c r="D29" i="41"/>
  <c r="E29" i="41"/>
  <c r="H36" i="25"/>
  <c r="D37" i="25"/>
  <c r="G36" i="25"/>
  <c r="E37" i="25"/>
  <c r="F29" i="46"/>
  <c r="G29" i="46" s="1"/>
  <c r="B29" i="46"/>
  <c r="G29" i="38"/>
  <c r="H110" i="46"/>
  <c r="I110" i="46"/>
  <c r="J110" i="13"/>
  <c r="G111" i="13"/>
  <c r="D112" i="13"/>
  <c r="E112" i="13" s="1"/>
  <c r="I32" i="28" l="1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B34" i="27"/>
  <c r="I37" i="4"/>
  <c r="J110" i="46"/>
  <c r="B38" i="3"/>
  <c r="F38" i="3"/>
  <c r="F30" i="39"/>
  <c r="H30" i="39" s="1"/>
  <c r="B30" i="39"/>
  <c r="F30" i="38"/>
  <c r="H30" i="38" s="1"/>
  <c r="B30" i="38"/>
  <c r="B37" i="25"/>
  <c r="F37" i="25"/>
  <c r="G111" i="46"/>
  <c r="D112" i="46"/>
  <c r="F28" i="43"/>
  <c r="H28" i="43" s="1"/>
  <c r="B28" i="43"/>
  <c r="I41" i="10"/>
  <c r="F38" i="5"/>
  <c r="B38" i="5"/>
  <c r="I32" i="31"/>
  <c r="D31" i="13"/>
  <c r="E31" i="13" s="1"/>
  <c r="B40" i="11"/>
  <c r="F40" i="11"/>
  <c r="B36" i="23"/>
  <c r="F36" i="23"/>
  <c r="D30" i="46"/>
  <c r="E30" i="46" s="1"/>
  <c r="I36" i="25"/>
  <c r="B32" i="30"/>
  <c r="F32" i="30"/>
  <c r="I29" i="38"/>
  <c r="F42" i="10"/>
  <c r="B42" i="10"/>
  <c r="B35" i="24"/>
  <c r="F35" i="24"/>
  <c r="F33" i="28"/>
  <c r="B33" i="28"/>
  <c r="F33" i="31"/>
  <c r="B33" i="31"/>
  <c r="G40" i="9"/>
  <c r="E41" i="9"/>
  <c r="H40" i="9"/>
  <c r="D41" i="9"/>
  <c r="G30" i="13"/>
  <c r="I30" i="13" s="1"/>
  <c r="I38" i="8"/>
  <c r="I38" i="6"/>
  <c r="F30" i="45"/>
  <c r="G30" i="45" s="1"/>
  <c r="B30" i="45"/>
  <c r="B29" i="41"/>
  <c r="F29" i="41"/>
  <c r="F41" i="7"/>
  <c r="B41" i="7"/>
  <c r="B33" i="29"/>
  <c r="F33" i="29"/>
  <c r="B37" i="22"/>
  <c r="F37" i="22"/>
  <c r="F29" i="40"/>
  <c r="H29" i="40" s="1"/>
  <c r="B29" i="40"/>
  <c r="I31" i="30"/>
  <c r="F31" i="37"/>
  <c r="H31" i="37" s="1"/>
  <c r="B31" i="37"/>
  <c r="I35" i="23"/>
  <c r="B38" i="4"/>
  <c r="F38" i="4"/>
  <c r="F39" i="8"/>
  <c r="B39" i="8"/>
  <c r="I32" i="29"/>
  <c r="B29" i="42"/>
  <c r="F29" i="42"/>
  <c r="G29" i="42" s="1"/>
  <c r="F39" i="6"/>
  <c r="B39" i="6"/>
  <c r="B112" i="13"/>
  <c r="F112" i="13"/>
  <c r="I111" i="13"/>
  <c r="H111" i="13"/>
  <c r="G30" i="44" l="1"/>
  <c r="H30" i="44"/>
  <c r="I30" i="44" s="1"/>
  <c r="D31" i="44"/>
  <c r="G29" i="40"/>
  <c r="I29" i="40" s="1"/>
  <c r="G34" i="27"/>
  <c r="E35" i="27"/>
  <c r="H34" i="27"/>
  <c r="D35" i="27"/>
  <c r="D38" i="22"/>
  <c r="G37" i="22"/>
  <c r="H37" i="22"/>
  <c r="E38" i="22"/>
  <c r="G33" i="28"/>
  <c r="D34" i="28"/>
  <c r="H33" i="28"/>
  <c r="E34" i="28"/>
  <c r="E43" i="10"/>
  <c r="G42" i="10"/>
  <c r="D43" i="10"/>
  <c r="H42" i="10"/>
  <c r="D38" i="25"/>
  <c r="G37" i="25"/>
  <c r="H37" i="25"/>
  <c r="E38" i="25"/>
  <c r="D30" i="42"/>
  <c r="E30" i="42"/>
  <c r="D32" i="37"/>
  <c r="E32" i="37"/>
  <c r="H41" i="7"/>
  <c r="D42" i="7"/>
  <c r="E42" i="7" s="1"/>
  <c r="G41" i="7"/>
  <c r="B41" i="9"/>
  <c r="F41" i="9"/>
  <c r="G35" i="24"/>
  <c r="D36" i="24"/>
  <c r="H35" i="24"/>
  <c r="E36" i="24"/>
  <c r="B31" i="13"/>
  <c r="F31" i="13"/>
  <c r="H31" i="13" s="1"/>
  <c r="D29" i="43"/>
  <c r="E29" i="43"/>
  <c r="D31" i="38"/>
  <c r="E31" i="38"/>
  <c r="D31" i="39"/>
  <c r="E31" i="39"/>
  <c r="D30" i="41"/>
  <c r="E30" i="41"/>
  <c r="D31" i="45"/>
  <c r="E31" i="45" s="1"/>
  <c r="G36" i="23"/>
  <c r="D37" i="23"/>
  <c r="H36" i="23"/>
  <c r="E37" i="23"/>
  <c r="D39" i="5"/>
  <c r="H38" i="5"/>
  <c r="G38" i="5"/>
  <c r="E39" i="5"/>
  <c r="D40" i="8"/>
  <c r="G39" i="8"/>
  <c r="H39" i="8"/>
  <c r="E40" i="8"/>
  <c r="G31" i="37"/>
  <c r="I31" i="37" s="1"/>
  <c r="H33" i="29"/>
  <c r="D34" i="29"/>
  <c r="G33" i="29"/>
  <c r="E34" i="29"/>
  <c r="H29" i="41"/>
  <c r="I40" i="9"/>
  <c r="D34" i="31"/>
  <c r="G33" i="31"/>
  <c r="H33" i="31"/>
  <c r="E34" i="31"/>
  <c r="G32" i="30"/>
  <c r="H32" i="30"/>
  <c r="D33" i="30"/>
  <c r="E33" i="30"/>
  <c r="F30" i="46"/>
  <c r="H30" i="46" s="1"/>
  <c r="B30" i="46"/>
  <c r="H40" i="11"/>
  <c r="D41" i="11"/>
  <c r="G40" i="11"/>
  <c r="E41" i="11"/>
  <c r="E112" i="46"/>
  <c r="F112" i="46" s="1"/>
  <c r="B112" i="46"/>
  <c r="G38" i="3"/>
  <c r="H38" i="3"/>
  <c r="D39" i="3"/>
  <c r="E39" i="3"/>
  <c r="H39" i="6"/>
  <c r="G39" i="6"/>
  <c r="D40" i="6"/>
  <c r="E40" i="6"/>
  <c r="H29" i="42"/>
  <c r="I29" i="42" s="1"/>
  <c r="G38" i="4"/>
  <c r="H38" i="4"/>
  <c r="D39" i="4"/>
  <c r="E39" i="4"/>
  <c r="D30" i="40"/>
  <c r="E30" i="40"/>
  <c r="G29" i="41"/>
  <c r="H30" i="45"/>
  <c r="I30" i="45" s="1"/>
  <c r="G28" i="43"/>
  <c r="I28" i="43" s="1"/>
  <c r="H111" i="46"/>
  <c r="I111" i="46"/>
  <c r="G30" i="38"/>
  <c r="I30" i="38" s="1"/>
  <c r="G30" i="39"/>
  <c r="I30" i="39" s="1"/>
  <c r="J111" i="13"/>
  <c r="G112" i="13"/>
  <c r="D113" i="13"/>
  <c r="E113" i="13" s="1"/>
  <c r="E31" i="44" l="1"/>
  <c r="F31" i="44" s="1"/>
  <c r="B31" i="44"/>
  <c r="I41" i="7"/>
  <c r="I38" i="3"/>
  <c r="I35" i="24"/>
  <c r="I40" i="11"/>
  <c r="I38" i="5"/>
  <c r="F35" i="27"/>
  <c r="B35" i="27"/>
  <c r="I32" i="30"/>
  <c r="I37" i="25"/>
  <c r="I33" i="28"/>
  <c r="I37" i="22"/>
  <c r="I34" i="27"/>
  <c r="J111" i="46"/>
  <c r="G112" i="46"/>
  <c r="D113" i="46"/>
  <c r="B113" i="46" s="1"/>
  <c r="I39" i="6"/>
  <c r="D31" i="46"/>
  <c r="F34" i="31"/>
  <c r="B34" i="31"/>
  <c r="B39" i="5"/>
  <c r="F39" i="5"/>
  <c r="B30" i="41"/>
  <c r="F30" i="41"/>
  <c r="G30" i="41" s="1"/>
  <c r="B31" i="38"/>
  <c r="F31" i="38"/>
  <c r="G31" i="38" s="1"/>
  <c r="D32" i="13"/>
  <c r="E32" i="13" s="1"/>
  <c r="B30" i="42"/>
  <c r="F30" i="42"/>
  <c r="H30" i="42" s="1"/>
  <c r="B34" i="28"/>
  <c r="F34" i="28"/>
  <c r="F30" i="40"/>
  <c r="B30" i="40"/>
  <c r="F41" i="11"/>
  <c r="B41" i="11"/>
  <c r="F40" i="8"/>
  <c r="B40" i="8"/>
  <c r="B42" i="7"/>
  <c r="F42" i="7"/>
  <c r="F39" i="4"/>
  <c r="B39" i="4"/>
  <c r="G30" i="46"/>
  <c r="I30" i="46" s="1"/>
  <c r="F34" i="29"/>
  <c r="B34" i="29"/>
  <c r="I39" i="8"/>
  <c r="G31" i="13"/>
  <c r="I31" i="13" s="1"/>
  <c r="B36" i="24"/>
  <c r="F36" i="24"/>
  <c r="F38" i="25"/>
  <c r="B38" i="25"/>
  <c r="B38" i="22"/>
  <c r="F38" i="22"/>
  <c r="F37" i="23"/>
  <c r="B37" i="23"/>
  <c r="G41" i="9"/>
  <c r="D42" i="9"/>
  <c r="E42" i="9" s="1"/>
  <c r="H41" i="9"/>
  <c r="B43" i="10"/>
  <c r="F43" i="10"/>
  <c r="I38" i="4"/>
  <c r="B40" i="6"/>
  <c r="F40" i="6"/>
  <c r="F39" i="3"/>
  <c r="B39" i="3"/>
  <c r="F33" i="30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D32" i="44" l="1"/>
  <c r="H31" i="44"/>
  <c r="G31" i="44"/>
  <c r="H31" i="38"/>
  <c r="I31" i="38" s="1"/>
  <c r="G31" i="45"/>
  <c r="H35" i="27"/>
  <c r="D36" i="27"/>
  <c r="G35" i="27"/>
  <c r="E113" i="46"/>
  <c r="F113" i="46" s="1"/>
  <c r="G113" i="46" s="1"/>
  <c r="I113" i="46" s="1"/>
  <c r="D33" i="37"/>
  <c r="E33" i="37"/>
  <c r="D40" i="3"/>
  <c r="G39" i="3"/>
  <c r="H39" i="3"/>
  <c r="E40" i="3"/>
  <c r="D31" i="40"/>
  <c r="E31" i="40"/>
  <c r="G29" i="43"/>
  <c r="I29" i="43" s="1"/>
  <c r="D32" i="39"/>
  <c r="E32" i="39"/>
  <c r="I31" i="45"/>
  <c r="H40" i="6"/>
  <c r="D41" i="6"/>
  <c r="E41" i="6" s="1"/>
  <c r="G40" i="6"/>
  <c r="G38" i="25"/>
  <c r="H38" i="25"/>
  <c r="I38" i="25" s="1"/>
  <c r="D39" i="25"/>
  <c r="E39" i="25"/>
  <c r="G30" i="40"/>
  <c r="G30" i="42"/>
  <c r="I30" i="42" s="1"/>
  <c r="D35" i="31"/>
  <c r="G34" i="31"/>
  <c r="H34" i="31"/>
  <c r="E35" i="31"/>
  <c r="D44" i="10"/>
  <c r="E44" i="10"/>
  <c r="H43" i="10"/>
  <c r="G43" i="10"/>
  <c r="F32" i="13"/>
  <c r="H32" i="13" s="1"/>
  <c r="B32" i="13"/>
  <c r="H32" i="37"/>
  <c r="H31" i="39"/>
  <c r="I31" i="39" s="1"/>
  <c r="G33" i="30"/>
  <c r="D34" i="30"/>
  <c r="H33" i="30"/>
  <c r="E34" i="30"/>
  <c r="I41" i="9"/>
  <c r="G38" i="22"/>
  <c r="H38" i="22"/>
  <c r="D39" i="22"/>
  <c r="E39" i="22"/>
  <c r="G36" i="24"/>
  <c r="D37" i="24"/>
  <c r="H36" i="24"/>
  <c r="E37" i="24"/>
  <c r="H39" i="4"/>
  <c r="G39" i="4"/>
  <c r="D40" i="4"/>
  <c r="E40" i="4" s="1"/>
  <c r="G40" i="8"/>
  <c r="D41" i="8"/>
  <c r="E41" i="8" s="1"/>
  <c r="H40" i="8"/>
  <c r="H34" i="28"/>
  <c r="G34" i="28"/>
  <c r="D35" i="28"/>
  <c r="E35" i="28"/>
  <c r="D31" i="41"/>
  <c r="E31" i="41"/>
  <c r="D40" i="5"/>
  <c r="G39" i="5"/>
  <c r="H39" i="5"/>
  <c r="E40" i="5"/>
  <c r="B31" i="46"/>
  <c r="D30" i="43"/>
  <c r="E30" i="43"/>
  <c r="H37" i="23"/>
  <c r="D38" i="23"/>
  <c r="G37" i="23"/>
  <c r="E38" i="23"/>
  <c r="G41" i="11"/>
  <c r="H41" i="11"/>
  <c r="D42" i="11"/>
  <c r="E42" i="11" s="1"/>
  <c r="D31" i="42"/>
  <c r="E31" i="42"/>
  <c r="G32" i="37"/>
  <c r="D32" i="45"/>
  <c r="B42" i="9"/>
  <c r="F42" i="9"/>
  <c r="G34" i="29"/>
  <c r="D35" i="29"/>
  <c r="H34" i="29"/>
  <c r="E35" i="29"/>
  <c r="D43" i="7"/>
  <c r="G42" i="7"/>
  <c r="H42" i="7"/>
  <c r="E43" i="7"/>
  <c r="H30" i="40"/>
  <c r="D32" i="38"/>
  <c r="E32" i="38"/>
  <c r="H30" i="41"/>
  <c r="I30" i="41" s="1"/>
  <c r="E31" i="46"/>
  <c r="F31" i="46" s="1"/>
  <c r="I112" i="46"/>
  <c r="H112" i="46"/>
  <c r="J112" i="13"/>
  <c r="G113" i="13"/>
  <c r="D114" i="13"/>
  <c r="H113" i="46" l="1"/>
  <c r="J113" i="46" s="1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D114" i="46"/>
  <c r="J112" i="46"/>
  <c r="D32" i="46"/>
  <c r="E32" i="46" s="1"/>
  <c r="H31" i="46"/>
  <c r="G31" i="46"/>
  <c r="F41" i="6"/>
  <c r="B41" i="6"/>
  <c r="B32" i="38"/>
  <c r="F32" i="38"/>
  <c r="H32" i="38" s="1"/>
  <c r="B35" i="29"/>
  <c r="F35" i="29"/>
  <c r="B32" i="45"/>
  <c r="B38" i="23"/>
  <c r="F38" i="23"/>
  <c r="I34" i="28"/>
  <c r="I39" i="4"/>
  <c r="B34" i="30"/>
  <c r="F34" i="30"/>
  <c r="D33" i="13"/>
  <c r="E33" i="13" s="1"/>
  <c r="B44" i="10"/>
  <c r="F44" i="10"/>
  <c r="F33" i="37"/>
  <c r="G33" i="37" s="1"/>
  <c r="B33" i="37"/>
  <c r="B30" i="43"/>
  <c r="F30" i="43"/>
  <c r="H30" i="43" s="1"/>
  <c r="F31" i="41"/>
  <c r="B31" i="41"/>
  <c r="B37" i="24"/>
  <c r="F37" i="24"/>
  <c r="B32" i="39"/>
  <c r="F32" i="39"/>
  <c r="G32" i="39" s="1"/>
  <c r="B43" i="7"/>
  <c r="F43" i="7"/>
  <c r="E32" i="45"/>
  <c r="F32" i="45" s="1"/>
  <c r="F31" i="42"/>
  <c r="H31" i="42" s="1"/>
  <c r="B31" i="42"/>
  <c r="I37" i="23"/>
  <c r="B40" i="5"/>
  <c r="F40" i="5"/>
  <c r="G32" i="13"/>
  <c r="I32" i="13" s="1"/>
  <c r="B42" i="11"/>
  <c r="F42" i="11"/>
  <c r="F41" i="8"/>
  <c r="B41" i="8"/>
  <c r="D43" i="9"/>
  <c r="E43" i="9" s="1"/>
  <c r="H42" i="9"/>
  <c r="G42" i="9"/>
  <c r="B35" i="28"/>
  <c r="F35" i="28"/>
  <c r="F40" i="4"/>
  <c r="B40" i="4"/>
  <c r="B39" i="22"/>
  <c r="F39" i="22"/>
  <c r="B35" i="31"/>
  <c r="F35" i="31"/>
  <c r="F39" i="25"/>
  <c r="B39" i="25"/>
  <c r="F31" i="40"/>
  <c r="B31" i="40"/>
  <c r="B40" i="3"/>
  <c r="F40" i="3"/>
  <c r="B114" i="13"/>
  <c r="H113" i="13"/>
  <c r="I113" i="13"/>
  <c r="E114" i="13"/>
  <c r="F114" i="13" s="1"/>
  <c r="G32" i="44" l="1"/>
  <c r="D33" i="44"/>
  <c r="H32" i="44"/>
  <c r="I32" i="44" s="1"/>
  <c r="G32" i="38"/>
  <c r="I32" i="38" s="1"/>
  <c r="H36" i="27"/>
  <c r="G36" i="27"/>
  <c r="D37" i="27"/>
  <c r="G31" i="42"/>
  <c r="I31" i="42" s="1"/>
  <c r="E114" i="46"/>
  <c r="F114" i="46" s="1"/>
  <c r="B114" i="46"/>
  <c r="D33" i="45"/>
  <c r="G32" i="45"/>
  <c r="H32" i="45"/>
  <c r="D32" i="41"/>
  <c r="E32" i="41"/>
  <c r="D32" i="40"/>
  <c r="E32" i="40"/>
  <c r="D41" i="4"/>
  <c r="H40" i="4"/>
  <c r="G40" i="4"/>
  <c r="E41" i="4"/>
  <c r="I42" i="9"/>
  <c r="H41" i="8"/>
  <c r="D42" i="8"/>
  <c r="E42" i="8" s="1"/>
  <c r="G41" i="8"/>
  <c r="G40" i="5"/>
  <c r="H40" i="5"/>
  <c r="D41" i="5"/>
  <c r="E41" i="5" s="1"/>
  <c r="H43" i="7"/>
  <c r="G43" i="7"/>
  <c r="D44" i="7"/>
  <c r="E44" i="7"/>
  <c r="D33" i="39"/>
  <c r="E33" i="39"/>
  <c r="G31" i="41"/>
  <c r="D34" i="37"/>
  <c r="E34" i="37"/>
  <c r="I31" i="46"/>
  <c r="F33" i="13"/>
  <c r="G33" i="13" s="1"/>
  <c r="B33" i="13"/>
  <c r="H31" i="40"/>
  <c r="H39" i="22"/>
  <c r="D40" i="22"/>
  <c r="E40" i="22" s="1"/>
  <c r="G39" i="22"/>
  <c r="D36" i="28"/>
  <c r="G35" i="28"/>
  <c r="H35" i="28"/>
  <c r="E36" i="28"/>
  <c r="B43" i="9"/>
  <c r="F43" i="9"/>
  <c r="G42" i="11"/>
  <c r="H42" i="11"/>
  <c r="D43" i="11"/>
  <c r="E43" i="11" s="1"/>
  <c r="H31" i="41"/>
  <c r="D45" i="10"/>
  <c r="H44" i="10"/>
  <c r="G44" i="10"/>
  <c r="E45" i="10"/>
  <c r="D35" i="30"/>
  <c r="G34" i="30"/>
  <c r="H34" i="30"/>
  <c r="E35" i="30"/>
  <c r="D39" i="23"/>
  <c r="E39" i="23" s="1"/>
  <c r="G38" i="23"/>
  <c r="H38" i="23"/>
  <c r="D41" i="3"/>
  <c r="E41" i="3" s="1"/>
  <c r="G40" i="3"/>
  <c r="H40" i="3"/>
  <c r="D36" i="31"/>
  <c r="G35" i="31"/>
  <c r="H35" i="31"/>
  <c r="E36" i="31"/>
  <c r="H37" i="24"/>
  <c r="D38" i="24"/>
  <c r="G37" i="24"/>
  <c r="E38" i="24"/>
  <c r="D31" i="43"/>
  <c r="E31" i="43"/>
  <c r="H35" i="29"/>
  <c r="G35" i="29"/>
  <c r="D36" i="29"/>
  <c r="E36" i="29"/>
  <c r="G31" i="40"/>
  <c r="D40" i="25"/>
  <c r="E40" i="25" s="1"/>
  <c r="H39" i="25"/>
  <c r="G39" i="25"/>
  <c r="D32" i="42"/>
  <c r="E32" i="42"/>
  <c r="H32" i="39"/>
  <c r="I32" i="39" s="1"/>
  <c r="G30" i="43"/>
  <c r="I30" i="43" s="1"/>
  <c r="H33" i="37"/>
  <c r="I33" i="37" s="1"/>
  <c r="D33" i="38"/>
  <c r="E33" i="38"/>
  <c r="G41" i="6"/>
  <c r="H41" i="6"/>
  <c r="D42" i="6"/>
  <c r="E42" i="6" s="1"/>
  <c r="F32" i="46"/>
  <c r="G32" i="46" s="1"/>
  <c r="B32" i="46"/>
  <c r="J113" i="13"/>
  <c r="G114" i="13"/>
  <c r="D115" i="13"/>
  <c r="E115" i="13" s="1"/>
  <c r="E33" i="44" l="1"/>
  <c r="F33" i="44" s="1"/>
  <c r="B33" i="44"/>
  <c r="I32" i="45"/>
  <c r="I41" i="6"/>
  <c r="I43" i="7"/>
  <c r="I39" i="25"/>
  <c r="I39" i="22"/>
  <c r="I37" i="24"/>
  <c r="H33" i="13"/>
  <c r="I33" i="13" s="1"/>
  <c r="H32" i="46"/>
  <c r="I32" i="46" s="1"/>
  <c r="I44" i="10"/>
  <c r="I31" i="41"/>
  <c r="I40" i="5"/>
  <c r="I41" i="8"/>
  <c r="B37" i="27"/>
  <c r="E37" i="27"/>
  <c r="F37" i="27" s="1"/>
  <c r="I36" i="27"/>
  <c r="D115" i="46"/>
  <c r="G114" i="46"/>
  <c r="F31" i="43"/>
  <c r="B31" i="43"/>
  <c r="B35" i="30"/>
  <c r="F35" i="30"/>
  <c r="F32" i="42"/>
  <c r="G32" i="42" s="1"/>
  <c r="B32" i="42"/>
  <c r="F40" i="25"/>
  <c r="B40" i="25"/>
  <c r="B43" i="11"/>
  <c r="F43" i="11"/>
  <c r="B36" i="28"/>
  <c r="F36" i="28"/>
  <c r="B34" i="37"/>
  <c r="F34" i="37"/>
  <c r="G34" i="37" s="1"/>
  <c r="I40" i="4"/>
  <c r="F33" i="38"/>
  <c r="H33" i="38" s="1"/>
  <c r="B33" i="38"/>
  <c r="B36" i="29"/>
  <c r="F36" i="29"/>
  <c r="F41" i="3"/>
  <c r="B41" i="3"/>
  <c r="F45" i="10"/>
  <c r="B45" i="10"/>
  <c r="G43" i="9"/>
  <c r="D44" i="9"/>
  <c r="E44" i="9" s="1"/>
  <c r="H43" i="9"/>
  <c r="B33" i="39"/>
  <c r="F33" i="39"/>
  <c r="G33" i="39" s="1"/>
  <c r="F42" i="8"/>
  <c r="B42" i="8"/>
  <c r="D33" i="46"/>
  <c r="I35" i="29"/>
  <c r="I35" i="31"/>
  <c r="I40" i="3"/>
  <c r="I38" i="23"/>
  <c r="I34" i="30"/>
  <c r="I42" i="11"/>
  <c r="I31" i="40"/>
  <c r="D34" i="13"/>
  <c r="E34" i="13" s="1"/>
  <c r="F44" i="7"/>
  <c r="B44" i="7"/>
  <c r="F41" i="4"/>
  <c r="B41" i="4"/>
  <c r="B32" i="41"/>
  <c r="F32" i="41"/>
  <c r="H32" i="41" s="1"/>
  <c r="B33" i="45"/>
  <c r="F42" i="6"/>
  <c r="B42" i="6"/>
  <c r="B36" i="31"/>
  <c r="F36" i="31"/>
  <c r="F39" i="23"/>
  <c r="B39" i="23"/>
  <c r="B40" i="22"/>
  <c r="F40" i="22"/>
  <c r="B32" i="40"/>
  <c r="F32" i="40"/>
  <c r="F38" i="24"/>
  <c r="B38" i="24"/>
  <c r="I35" i="28"/>
  <c r="F41" i="5"/>
  <c r="B41" i="5"/>
  <c r="E33" i="45"/>
  <c r="F33" i="45" s="1"/>
  <c r="B115" i="13"/>
  <c r="F115" i="13"/>
  <c r="H114" i="13"/>
  <c r="I114" i="13"/>
  <c r="G33" i="38" l="1"/>
  <c r="D34" i="44"/>
  <c r="G33" i="44"/>
  <c r="H33" i="44"/>
  <c r="D38" i="27"/>
  <c r="E38" i="27"/>
  <c r="G37" i="27"/>
  <c r="H37" i="27"/>
  <c r="B115" i="46"/>
  <c r="E115" i="46"/>
  <c r="F115" i="46" s="1"/>
  <c r="H114" i="46"/>
  <c r="I114" i="46"/>
  <c r="D34" i="45"/>
  <c r="E34" i="45" s="1"/>
  <c r="H33" i="45"/>
  <c r="G33" i="45"/>
  <c r="D33" i="40"/>
  <c r="E33" i="40"/>
  <c r="D37" i="31"/>
  <c r="E37" i="31" s="1"/>
  <c r="G36" i="31"/>
  <c r="H36" i="31"/>
  <c r="H36" i="28"/>
  <c r="G36" i="28"/>
  <c r="D37" i="28"/>
  <c r="E37" i="28"/>
  <c r="G32" i="40"/>
  <c r="D33" i="41"/>
  <c r="E33" i="41"/>
  <c r="H41" i="4"/>
  <c r="G41" i="4"/>
  <c r="D42" i="4"/>
  <c r="E42" i="4" s="1"/>
  <c r="B34" i="13"/>
  <c r="F34" i="13"/>
  <c r="G34" i="13" s="1"/>
  <c r="B33" i="46"/>
  <c r="D34" i="39"/>
  <c r="E34" i="39"/>
  <c r="I43" i="9"/>
  <c r="G36" i="29"/>
  <c r="D37" i="29"/>
  <c r="E37" i="29" s="1"/>
  <c r="H36" i="29"/>
  <c r="H34" i="37"/>
  <c r="I34" i="37" s="1"/>
  <c r="D41" i="25"/>
  <c r="E41" i="25" s="1"/>
  <c r="G40" i="25"/>
  <c r="H40" i="25"/>
  <c r="D33" i="42"/>
  <c r="E33" i="42"/>
  <c r="D32" i="43"/>
  <c r="E32" i="43"/>
  <c r="D41" i="22"/>
  <c r="E41" i="22" s="1"/>
  <c r="G40" i="22"/>
  <c r="H40" i="22"/>
  <c r="D43" i="8"/>
  <c r="E43" i="8" s="1"/>
  <c r="G42" i="8"/>
  <c r="H42" i="8"/>
  <c r="D39" i="24"/>
  <c r="E39" i="24" s="1"/>
  <c r="G38" i="24"/>
  <c r="H38" i="24"/>
  <c r="G32" i="41"/>
  <c r="I32" i="41" s="1"/>
  <c r="E33" i="46"/>
  <c r="F33" i="46" s="1"/>
  <c r="D46" i="10"/>
  <c r="H45" i="10"/>
  <c r="E46" i="10"/>
  <c r="G45" i="10"/>
  <c r="D34" i="38"/>
  <c r="E34" i="38"/>
  <c r="D44" i="11"/>
  <c r="E44" i="11" s="1"/>
  <c r="G43" i="11"/>
  <c r="H43" i="11"/>
  <c r="G35" i="30"/>
  <c r="D36" i="30"/>
  <c r="E36" i="30" s="1"/>
  <c r="H35" i="30"/>
  <c r="H31" i="43"/>
  <c r="H41" i="3"/>
  <c r="D42" i="3"/>
  <c r="G41" i="3"/>
  <c r="E42" i="3"/>
  <c r="D35" i="37"/>
  <c r="E35" i="37" s="1"/>
  <c r="H41" i="5"/>
  <c r="G41" i="5"/>
  <c r="D42" i="5"/>
  <c r="E42" i="5"/>
  <c r="H32" i="40"/>
  <c r="D40" i="23"/>
  <c r="E40" i="23" s="1"/>
  <c r="G39" i="23"/>
  <c r="H39" i="23"/>
  <c r="G42" i="6"/>
  <c r="D43" i="6"/>
  <c r="H42" i="6"/>
  <c r="E43" i="6"/>
  <c r="H44" i="7"/>
  <c r="D45" i="7"/>
  <c r="G44" i="7"/>
  <c r="E45" i="7"/>
  <c r="H33" i="39"/>
  <c r="I33" i="39" s="1"/>
  <c r="B44" i="9"/>
  <c r="F44" i="9"/>
  <c r="I33" i="38"/>
  <c r="H32" i="42"/>
  <c r="I32" i="42" s="1"/>
  <c r="G31" i="43"/>
  <c r="D116" i="13"/>
  <c r="G115" i="13"/>
  <c r="J114" i="13"/>
  <c r="I33" i="44" l="1"/>
  <c r="E34" i="44"/>
  <c r="F34" i="44"/>
  <c r="B34" i="44"/>
  <c r="I36" i="29"/>
  <c r="I32" i="40"/>
  <c r="H34" i="13"/>
  <c r="I34" i="13" s="1"/>
  <c r="I37" i="27"/>
  <c r="I36" i="28"/>
  <c r="I41" i="3"/>
  <c r="I31" i="43"/>
  <c r="F38" i="27"/>
  <c r="B38" i="27"/>
  <c r="J114" i="46"/>
  <c r="G115" i="46"/>
  <c r="D116" i="46"/>
  <c r="D34" i="46"/>
  <c r="E34" i="46" s="1"/>
  <c r="H33" i="46"/>
  <c r="G33" i="46"/>
  <c r="I41" i="5"/>
  <c r="F44" i="11"/>
  <c r="B44" i="11"/>
  <c r="F39" i="24"/>
  <c r="B39" i="24"/>
  <c r="F43" i="8"/>
  <c r="B43" i="8"/>
  <c r="F41" i="22"/>
  <c r="B41" i="22"/>
  <c r="B33" i="42"/>
  <c r="F33" i="42"/>
  <c r="G33" i="42" s="1"/>
  <c r="F41" i="25"/>
  <c r="B41" i="25"/>
  <c r="F37" i="29"/>
  <c r="B37" i="29"/>
  <c r="F34" i="39"/>
  <c r="G34" i="39" s="1"/>
  <c r="B34" i="39"/>
  <c r="I41" i="4"/>
  <c r="B37" i="31"/>
  <c r="F37" i="31"/>
  <c r="I33" i="45"/>
  <c r="F40" i="23"/>
  <c r="B40" i="23"/>
  <c r="F36" i="30"/>
  <c r="B36" i="30"/>
  <c r="D45" i="9"/>
  <c r="E45" i="9"/>
  <c r="H44" i="9"/>
  <c r="G44" i="9"/>
  <c r="F45" i="7"/>
  <c r="B45" i="7"/>
  <c r="I42" i="6"/>
  <c r="I39" i="23"/>
  <c r="I45" i="10"/>
  <c r="D35" i="13"/>
  <c r="B37" i="28"/>
  <c r="F37" i="28"/>
  <c r="B35" i="37"/>
  <c r="F35" i="37"/>
  <c r="H35" i="37" s="1"/>
  <c r="I44" i="7"/>
  <c r="F43" i="6"/>
  <c r="B43" i="6"/>
  <c r="F42" i="5"/>
  <c r="B42" i="5"/>
  <c r="B42" i="3"/>
  <c r="F42" i="3"/>
  <c r="I35" i="30"/>
  <c r="I43" i="11"/>
  <c r="F34" i="38"/>
  <c r="G34" i="38" s="1"/>
  <c r="B34" i="38"/>
  <c r="B46" i="10"/>
  <c r="F46" i="10"/>
  <c r="I38" i="24"/>
  <c r="I42" i="8"/>
  <c r="I40" i="22"/>
  <c r="B32" i="43"/>
  <c r="F32" i="43"/>
  <c r="G32" i="43" s="1"/>
  <c r="I40" i="25"/>
  <c r="F42" i="4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G34" i="44" l="1"/>
  <c r="D35" i="44"/>
  <c r="H34" i="44"/>
  <c r="I34" i="44" s="1"/>
  <c r="H33" i="41"/>
  <c r="I33" i="41" s="1"/>
  <c r="H34" i="38"/>
  <c r="D39" i="27"/>
  <c r="G38" i="27"/>
  <c r="H38" i="27"/>
  <c r="I44" i="9"/>
  <c r="H33" i="42"/>
  <c r="B116" i="46"/>
  <c r="E116" i="46"/>
  <c r="F116" i="46" s="1"/>
  <c r="I115" i="46"/>
  <c r="H115" i="46"/>
  <c r="I33" i="42"/>
  <c r="D34" i="40"/>
  <c r="E34" i="40"/>
  <c r="H42" i="5"/>
  <c r="D43" i="5"/>
  <c r="E43" i="5" s="1"/>
  <c r="G42" i="5"/>
  <c r="D36" i="37"/>
  <c r="E36" i="37" s="1"/>
  <c r="G37" i="28"/>
  <c r="D38" i="28"/>
  <c r="H37" i="28"/>
  <c r="E38" i="28"/>
  <c r="D46" i="7"/>
  <c r="G45" i="7"/>
  <c r="H45" i="7"/>
  <c r="E46" i="7"/>
  <c r="B45" i="9"/>
  <c r="F45" i="9"/>
  <c r="H40" i="23"/>
  <c r="G40" i="23"/>
  <c r="D41" i="23"/>
  <c r="E41" i="23"/>
  <c r="H34" i="39"/>
  <c r="I34" i="39" s="1"/>
  <c r="I33" i="46"/>
  <c r="B35" i="13"/>
  <c r="H37" i="29"/>
  <c r="D38" i="29"/>
  <c r="G37" i="29"/>
  <c r="E38" i="29"/>
  <c r="H41" i="22"/>
  <c r="G41" i="22"/>
  <c r="D42" i="22"/>
  <c r="E42" i="22"/>
  <c r="D35" i="45"/>
  <c r="E35" i="45" s="1"/>
  <c r="D43" i="4"/>
  <c r="H42" i="4"/>
  <c r="G42" i="4"/>
  <c r="E43" i="4"/>
  <c r="H34" i="45"/>
  <c r="I34" i="45" s="1"/>
  <c r="H33" i="40"/>
  <c r="D34" i="41"/>
  <c r="E34" i="41"/>
  <c r="G46" i="10"/>
  <c r="H46" i="10"/>
  <c r="D47" i="10"/>
  <c r="E47" i="10" s="1"/>
  <c r="D35" i="38"/>
  <c r="E35" i="38" s="1"/>
  <c r="D43" i="3"/>
  <c r="E43" i="3" s="1"/>
  <c r="H42" i="3"/>
  <c r="G42" i="3"/>
  <c r="G35" i="37"/>
  <c r="I35" i="37" s="1"/>
  <c r="D42" i="25"/>
  <c r="E42" i="25" s="1"/>
  <c r="H41" i="25"/>
  <c r="G41" i="25"/>
  <c r="G43" i="8"/>
  <c r="H43" i="8"/>
  <c r="D44" i="8"/>
  <c r="E44" i="8"/>
  <c r="G44" i="11"/>
  <c r="H44" i="11"/>
  <c r="D45" i="11"/>
  <c r="E45" i="11"/>
  <c r="D33" i="43"/>
  <c r="E33" i="43"/>
  <c r="D35" i="39"/>
  <c r="E35" i="39"/>
  <c r="G39" i="24"/>
  <c r="D40" i="24"/>
  <c r="H39" i="24"/>
  <c r="E40" i="24"/>
  <c r="G33" i="40"/>
  <c r="H32" i="43"/>
  <c r="I32" i="43" s="1"/>
  <c r="I34" i="38"/>
  <c r="H43" i="6"/>
  <c r="G43" i="6"/>
  <c r="D44" i="6"/>
  <c r="E44" i="6" s="1"/>
  <c r="E35" i="13"/>
  <c r="F35" i="13" s="1"/>
  <c r="D37" i="30"/>
  <c r="E37" i="30" s="1"/>
  <c r="G36" i="30"/>
  <c r="H36" i="30"/>
  <c r="D38" i="31"/>
  <c r="E38" i="31" s="1"/>
  <c r="G37" i="31"/>
  <c r="H37" i="31"/>
  <c r="D34" i="42"/>
  <c r="E34" i="42" s="1"/>
  <c r="B34" i="46"/>
  <c r="F34" i="46"/>
  <c r="G34" i="46" s="1"/>
  <c r="J115" i="13"/>
  <c r="G116" i="13"/>
  <c r="D117" i="13"/>
  <c r="E117" i="13" s="1"/>
  <c r="I41" i="22" l="1"/>
  <c r="E35" i="44"/>
  <c r="F35" i="44" s="1"/>
  <c r="B35" i="44"/>
  <c r="H35" i="44"/>
  <c r="I41" i="25"/>
  <c r="I45" i="7"/>
  <c r="I38" i="27"/>
  <c r="I40" i="23"/>
  <c r="B39" i="27"/>
  <c r="I44" i="11"/>
  <c r="I43" i="8"/>
  <c r="E39" i="27"/>
  <c r="F39" i="27" s="1"/>
  <c r="J115" i="46"/>
  <c r="G116" i="46"/>
  <c r="D117" i="46"/>
  <c r="D36" i="13"/>
  <c r="E36" i="13" s="1"/>
  <c r="G35" i="13"/>
  <c r="H35" i="13"/>
  <c r="F44" i="6"/>
  <c r="B44" i="6"/>
  <c r="B35" i="38"/>
  <c r="F35" i="38"/>
  <c r="H35" i="38" s="1"/>
  <c r="B46" i="7"/>
  <c r="F46" i="7"/>
  <c r="B34" i="40"/>
  <c r="F34" i="40"/>
  <c r="F34" i="42"/>
  <c r="G34" i="42" s="1"/>
  <c r="B34" i="42"/>
  <c r="F38" i="31"/>
  <c r="B38" i="31"/>
  <c r="F37" i="30"/>
  <c r="B37" i="30"/>
  <c r="B33" i="43"/>
  <c r="F33" i="43"/>
  <c r="H33" i="43" s="1"/>
  <c r="F42" i="25"/>
  <c r="B42" i="25"/>
  <c r="I42" i="3"/>
  <c r="F47" i="10"/>
  <c r="B47" i="10"/>
  <c r="B38" i="29"/>
  <c r="F38" i="29"/>
  <c r="F36" i="37"/>
  <c r="H36" i="37" s="1"/>
  <c r="B36" i="37"/>
  <c r="B43" i="5"/>
  <c r="F43" i="5"/>
  <c r="D35" i="46"/>
  <c r="E35" i="46" s="1"/>
  <c r="B43" i="4"/>
  <c r="F43" i="4"/>
  <c r="H34" i="46"/>
  <c r="I34" i="46" s="1"/>
  <c r="I43" i="6"/>
  <c r="F43" i="3"/>
  <c r="B43" i="3"/>
  <c r="I46" i="10"/>
  <c r="B34" i="41"/>
  <c r="F34" i="41"/>
  <c r="B35" i="45"/>
  <c r="F35" i="45"/>
  <c r="G35" i="45" s="1"/>
  <c r="I37" i="29"/>
  <c r="I37" i="28"/>
  <c r="I42" i="5"/>
  <c r="F40" i="24"/>
  <c r="B40" i="24"/>
  <c r="F42" i="22"/>
  <c r="B42" i="22"/>
  <c r="B41" i="23"/>
  <c r="F41" i="23"/>
  <c r="I37" i="31"/>
  <c r="I36" i="30"/>
  <c r="I39" i="24"/>
  <c r="F35" i="39"/>
  <c r="B35" i="39"/>
  <c r="B45" i="11"/>
  <c r="F45" i="11"/>
  <c r="F44" i="8"/>
  <c r="B44" i="8"/>
  <c r="I33" i="40"/>
  <c r="I42" i="4"/>
  <c r="H45" i="9"/>
  <c r="D46" i="9"/>
  <c r="E46" i="9" s="1"/>
  <c r="G45" i="9"/>
  <c r="B38" i="28"/>
  <c r="F38" i="28"/>
  <c r="I116" i="13"/>
  <c r="H116" i="13"/>
  <c r="B117" i="13"/>
  <c r="F117" i="13"/>
  <c r="G35" i="44" l="1"/>
  <c r="I35" i="44" s="1"/>
  <c r="D36" i="44"/>
  <c r="G36" i="37"/>
  <c r="I36" i="37" s="1"/>
  <c r="H34" i="42"/>
  <c r="D40" i="27"/>
  <c r="H39" i="27"/>
  <c r="G39" i="27"/>
  <c r="I35" i="13"/>
  <c r="E117" i="46"/>
  <c r="F117" i="46" s="1"/>
  <c r="B117" i="46"/>
  <c r="I116" i="46"/>
  <c r="H116" i="46"/>
  <c r="D46" i="11"/>
  <c r="G45" i="11"/>
  <c r="H45" i="11"/>
  <c r="E46" i="11"/>
  <c r="D35" i="41"/>
  <c r="E35" i="41"/>
  <c r="D35" i="40"/>
  <c r="E35" i="40"/>
  <c r="G46" i="7"/>
  <c r="H46" i="7"/>
  <c r="D47" i="7"/>
  <c r="E47" i="7"/>
  <c r="D36" i="39"/>
  <c r="E36" i="39"/>
  <c r="H41" i="23"/>
  <c r="G41" i="23"/>
  <c r="D42" i="23"/>
  <c r="E42" i="23"/>
  <c r="D39" i="29"/>
  <c r="E39" i="29" s="1"/>
  <c r="G38" i="29"/>
  <c r="H38" i="29"/>
  <c r="D34" i="43"/>
  <c r="E34" i="43"/>
  <c r="G37" i="30"/>
  <c r="D38" i="30"/>
  <c r="H37" i="30"/>
  <c r="E38" i="30"/>
  <c r="D43" i="22"/>
  <c r="H42" i="22"/>
  <c r="G42" i="22"/>
  <c r="E43" i="22"/>
  <c r="H43" i="3"/>
  <c r="G43" i="3"/>
  <c r="D44" i="3"/>
  <c r="E44" i="3"/>
  <c r="G38" i="28"/>
  <c r="D39" i="28"/>
  <c r="H38" i="28"/>
  <c r="E39" i="28"/>
  <c r="B46" i="9"/>
  <c r="F46" i="9"/>
  <c r="G35" i="39"/>
  <c r="H40" i="24"/>
  <c r="G40" i="24"/>
  <c r="D41" i="24"/>
  <c r="E41" i="24"/>
  <c r="D36" i="45"/>
  <c r="E36" i="45" s="1"/>
  <c r="H34" i="41"/>
  <c r="B35" i="46"/>
  <c r="F35" i="46"/>
  <c r="G35" i="46" s="1"/>
  <c r="G33" i="43"/>
  <c r="I33" i="43" s="1"/>
  <c r="I34" i="42"/>
  <c r="G34" i="40"/>
  <c r="D36" i="38"/>
  <c r="E36" i="38" s="1"/>
  <c r="G47" i="10"/>
  <c r="H47" i="10"/>
  <c r="E48" i="10"/>
  <c r="D48" i="10"/>
  <c r="I45" i="9"/>
  <c r="H44" i="8"/>
  <c r="G44" i="8"/>
  <c r="D45" i="8"/>
  <c r="E45" i="8"/>
  <c r="H35" i="39"/>
  <c r="H35" i="45"/>
  <c r="I35" i="45" s="1"/>
  <c r="G34" i="41"/>
  <c r="H43" i="4"/>
  <c r="G43" i="4"/>
  <c r="D44" i="4"/>
  <c r="E44" i="4"/>
  <c r="G43" i="5"/>
  <c r="D44" i="5"/>
  <c r="H43" i="5"/>
  <c r="E44" i="5"/>
  <c r="D37" i="37"/>
  <c r="E37" i="37" s="1"/>
  <c r="G42" i="25"/>
  <c r="D43" i="25"/>
  <c r="E43" i="25" s="1"/>
  <c r="H42" i="25"/>
  <c r="H38" i="31"/>
  <c r="D39" i="31"/>
  <c r="E39" i="31" s="1"/>
  <c r="G38" i="31"/>
  <c r="D35" i="42"/>
  <c r="E35" i="42"/>
  <c r="H34" i="40"/>
  <c r="G35" i="38"/>
  <c r="I35" i="38" s="1"/>
  <c r="G44" i="6"/>
  <c r="D45" i="6"/>
  <c r="E45" i="6" s="1"/>
  <c r="H44" i="6"/>
  <c r="B36" i="13"/>
  <c r="F36" i="13"/>
  <c r="G36" i="13" s="1"/>
  <c r="G117" i="13"/>
  <c r="D118" i="13"/>
  <c r="E118" i="13" s="1"/>
  <c r="J116" i="13"/>
  <c r="I37" i="30" l="1"/>
  <c r="I38" i="28"/>
  <c r="I42" i="25"/>
  <c r="I43" i="4"/>
  <c r="E36" i="44"/>
  <c r="F36" i="44" s="1"/>
  <c r="B36" i="44"/>
  <c r="G36" i="44"/>
  <c r="I46" i="7"/>
  <c r="I34" i="40"/>
  <c r="H36" i="13"/>
  <c r="I36" i="13" s="1"/>
  <c r="I45" i="11"/>
  <c r="I44" i="6"/>
  <c r="I47" i="10"/>
  <c r="I39" i="27"/>
  <c r="I34" i="41"/>
  <c r="B40" i="27"/>
  <c r="I41" i="23"/>
  <c r="I35" i="39"/>
  <c r="I44" i="8"/>
  <c r="I43" i="3"/>
  <c r="E40" i="27"/>
  <c r="F40" i="27" s="1"/>
  <c r="J116" i="46"/>
  <c r="D118" i="46"/>
  <c r="G117" i="46"/>
  <c r="F41" i="24"/>
  <c r="B41" i="24"/>
  <c r="G46" i="9"/>
  <c r="D47" i="9"/>
  <c r="E47" i="9"/>
  <c r="H46" i="9"/>
  <c r="B34" i="43"/>
  <c r="F34" i="43"/>
  <c r="H34" i="43" s="1"/>
  <c r="F47" i="7"/>
  <c r="B47" i="7"/>
  <c r="D37" i="13"/>
  <c r="E37" i="13" s="1"/>
  <c r="F45" i="6"/>
  <c r="B45" i="6"/>
  <c r="B39" i="31"/>
  <c r="F39" i="31"/>
  <c r="B43" i="25"/>
  <c r="F43" i="25"/>
  <c r="B45" i="8"/>
  <c r="F45" i="8"/>
  <c r="I42" i="22"/>
  <c r="F38" i="30"/>
  <c r="B38" i="30"/>
  <c r="B36" i="38"/>
  <c r="F36" i="38"/>
  <c r="G36" i="38" s="1"/>
  <c r="D36" i="46"/>
  <c r="B39" i="28"/>
  <c r="F39" i="28"/>
  <c r="F35" i="40"/>
  <c r="H35" i="40" s="1"/>
  <c r="B35" i="40"/>
  <c r="F35" i="42"/>
  <c r="H35" i="42" s="1"/>
  <c r="B35" i="42"/>
  <c r="I38" i="31"/>
  <c r="I43" i="5"/>
  <c r="B44" i="4"/>
  <c r="F44" i="4"/>
  <c r="H35" i="46"/>
  <c r="I35" i="46" s="1"/>
  <c r="F36" i="45"/>
  <c r="H36" i="45" s="1"/>
  <c r="B36" i="45"/>
  <c r="I40" i="24"/>
  <c r="B43" i="22"/>
  <c r="F43" i="22"/>
  <c r="I38" i="29"/>
  <c r="B42" i="23"/>
  <c r="F42" i="23"/>
  <c r="F36" i="39"/>
  <c r="G36" i="39" s="1"/>
  <c r="B36" i="39"/>
  <c r="B37" i="37"/>
  <c r="F37" i="37"/>
  <c r="H37" i="37" s="1"/>
  <c r="F44" i="3"/>
  <c r="B44" i="3"/>
  <c r="F39" i="29"/>
  <c r="B39" i="29"/>
  <c r="F44" i="5"/>
  <c r="B44" i="5"/>
  <c r="F48" i="10"/>
  <c r="B48" i="10"/>
  <c r="B35" i="41"/>
  <c r="F35" i="41"/>
  <c r="G35" i="41" s="1"/>
  <c r="B46" i="11"/>
  <c r="F46" i="11"/>
  <c r="F118" i="13"/>
  <c r="B118" i="13"/>
  <c r="H117" i="13"/>
  <c r="I117" i="13"/>
  <c r="D37" i="44" l="1"/>
  <c r="H36" i="44"/>
  <c r="I36" i="44" s="1"/>
  <c r="H35" i="41"/>
  <c r="I35" i="41" s="1"/>
  <c r="H36" i="39"/>
  <c r="I36" i="39" s="1"/>
  <c r="G34" i="43"/>
  <c r="I34" i="43" s="1"/>
  <c r="E41" i="27"/>
  <c r="G40" i="27"/>
  <c r="H40" i="27"/>
  <c r="D41" i="27"/>
  <c r="G37" i="37"/>
  <c r="I37" i="37" s="1"/>
  <c r="G36" i="45"/>
  <c r="I36" i="45" s="1"/>
  <c r="I117" i="46"/>
  <c r="H117" i="46"/>
  <c r="E118" i="46"/>
  <c r="F118" i="46" s="1"/>
  <c r="B118" i="46"/>
  <c r="B36" i="46"/>
  <c r="G45" i="6"/>
  <c r="H45" i="6"/>
  <c r="D46" i="6"/>
  <c r="E46" i="6"/>
  <c r="B47" i="9"/>
  <c r="F47" i="9"/>
  <c r="D45" i="5"/>
  <c r="E45" i="5" s="1"/>
  <c r="G44" i="5"/>
  <c r="H44" i="5"/>
  <c r="G44" i="3"/>
  <c r="D45" i="3"/>
  <c r="E45" i="3" s="1"/>
  <c r="H44" i="3"/>
  <c r="D37" i="39"/>
  <c r="E37" i="39"/>
  <c r="H43" i="22"/>
  <c r="G43" i="22"/>
  <c r="D44" i="22"/>
  <c r="E44" i="22"/>
  <c r="G44" i="4"/>
  <c r="H44" i="4"/>
  <c r="D45" i="4"/>
  <c r="E45" i="4"/>
  <c r="G39" i="28"/>
  <c r="H39" i="28"/>
  <c r="D40" i="28"/>
  <c r="E40" i="28"/>
  <c r="D37" i="38"/>
  <c r="E37" i="38" s="1"/>
  <c r="D46" i="8"/>
  <c r="E46" i="8" s="1"/>
  <c r="G45" i="8"/>
  <c r="H45" i="8"/>
  <c r="H39" i="31"/>
  <c r="D40" i="31"/>
  <c r="G39" i="31"/>
  <c r="E40" i="31"/>
  <c r="G47" i="7"/>
  <c r="D48" i="7"/>
  <c r="H47" i="7"/>
  <c r="E48" i="7"/>
  <c r="D36" i="40"/>
  <c r="E36" i="40" s="1"/>
  <c r="D38" i="37"/>
  <c r="E38" i="37" s="1"/>
  <c r="D43" i="23"/>
  <c r="E43" i="23" s="1"/>
  <c r="H42" i="23"/>
  <c r="G42" i="23"/>
  <c r="G35" i="40"/>
  <c r="I35" i="40" s="1"/>
  <c r="B37" i="13"/>
  <c r="F37" i="13"/>
  <c r="I46" i="9"/>
  <c r="G46" i="11"/>
  <c r="H46" i="11"/>
  <c r="D47" i="11"/>
  <c r="E47" i="11"/>
  <c r="D36" i="42"/>
  <c r="E36" i="42" s="1"/>
  <c r="D36" i="41"/>
  <c r="E36" i="41"/>
  <c r="H48" i="10"/>
  <c r="D49" i="10"/>
  <c r="G48" i="10"/>
  <c r="E49" i="10"/>
  <c r="G39" i="29"/>
  <c r="D40" i="29"/>
  <c r="H39" i="29"/>
  <c r="E40" i="29"/>
  <c r="D37" i="45"/>
  <c r="G35" i="42"/>
  <c r="I35" i="42" s="1"/>
  <c r="E36" i="46"/>
  <c r="F36" i="46" s="1"/>
  <c r="H36" i="38"/>
  <c r="I36" i="38" s="1"/>
  <c r="G38" i="30"/>
  <c r="H38" i="30"/>
  <c r="D39" i="30"/>
  <c r="E39" i="30" s="1"/>
  <c r="D44" i="25"/>
  <c r="E44" i="25" s="1"/>
  <c r="G43" i="25"/>
  <c r="H43" i="25"/>
  <c r="D35" i="43"/>
  <c r="E35" i="43"/>
  <c r="G41" i="24"/>
  <c r="H41" i="24"/>
  <c r="D42" i="24"/>
  <c r="E42" i="24"/>
  <c r="J117" i="13"/>
  <c r="G118" i="13"/>
  <c r="D119" i="13"/>
  <c r="I43" i="22" l="1"/>
  <c r="E37" i="44"/>
  <c r="F37" i="44"/>
  <c r="B37" i="44"/>
  <c r="I39" i="31"/>
  <c r="I44" i="3"/>
  <c r="I45" i="8"/>
  <c r="I44" i="5"/>
  <c r="I40" i="27"/>
  <c r="I43" i="25"/>
  <c r="I42" i="23"/>
  <c r="I48" i="10"/>
  <c r="I46" i="11"/>
  <c r="F41" i="27"/>
  <c r="B41" i="27"/>
  <c r="G118" i="46"/>
  <c r="D119" i="46"/>
  <c r="B119" i="46" s="1"/>
  <c r="J117" i="46"/>
  <c r="D37" i="46"/>
  <c r="H36" i="46"/>
  <c r="G36" i="46"/>
  <c r="D38" i="13"/>
  <c r="E38" i="13" s="1"/>
  <c r="B37" i="38"/>
  <c r="F37" i="38"/>
  <c r="H37" i="38" s="1"/>
  <c r="I38" i="30"/>
  <c r="F36" i="42"/>
  <c r="G36" i="42" s="1"/>
  <c r="B36" i="42"/>
  <c r="F43" i="23"/>
  <c r="B43" i="23"/>
  <c r="F45" i="3"/>
  <c r="B45" i="3"/>
  <c r="F36" i="40"/>
  <c r="G36" i="40" s="1"/>
  <c r="B36" i="40"/>
  <c r="F46" i="8"/>
  <c r="B46" i="8"/>
  <c r="B42" i="24"/>
  <c r="F42" i="24"/>
  <c r="F35" i="43"/>
  <c r="H35" i="43" s="1"/>
  <c r="B35" i="43"/>
  <c r="F44" i="25"/>
  <c r="B44" i="25"/>
  <c r="B37" i="45"/>
  <c r="I39" i="29"/>
  <c r="F36" i="41"/>
  <c r="G36" i="41" s="1"/>
  <c r="B36" i="41"/>
  <c r="H37" i="13"/>
  <c r="I47" i="7"/>
  <c r="F40" i="28"/>
  <c r="B40" i="28"/>
  <c r="F45" i="4"/>
  <c r="B45" i="4"/>
  <c r="F44" i="22"/>
  <c r="B44" i="22"/>
  <c r="F37" i="39"/>
  <c r="H37" i="39" s="1"/>
  <c r="B37" i="39"/>
  <c r="F45" i="5"/>
  <c r="B45" i="5"/>
  <c r="B46" i="6"/>
  <c r="F46" i="6"/>
  <c r="F39" i="30"/>
  <c r="B39" i="30"/>
  <c r="I41" i="24"/>
  <c r="E37" i="45"/>
  <c r="F37" i="45" s="1"/>
  <c r="B40" i="29"/>
  <c r="F40" i="29"/>
  <c r="F49" i="10"/>
  <c r="B49" i="10"/>
  <c r="F47" i="11"/>
  <c r="B47" i="11"/>
  <c r="G37" i="13"/>
  <c r="B38" i="37"/>
  <c r="F38" i="37"/>
  <c r="F48" i="7"/>
  <c r="B48" i="7"/>
  <c r="B40" i="31"/>
  <c r="F40" i="31"/>
  <c r="I39" i="28"/>
  <c r="I44" i="4"/>
  <c r="E48" i="9"/>
  <c r="G47" i="9"/>
  <c r="D48" i="9"/>
  <c r="H47" i="9"/>
  <c r="I45" i="6"/>
  <c r="B119" i="13"/>
  <c r="E119" i="13"/>
  <c r="F119" i="13" s="1"/>
  <c r="H118" i="13"/>
  <c r="I118" i="13"/>
  <c r="H37" i="44" l="1"/>
  <c r="G37" i="44"/>
  <c r="I37" i="44" s="1"/>
  <c r="D38" i="44"/>
  <c r="G37" i="38"/>
  <c r="I37" i="38" s="1"/>
  <c r="G41" i="27"/>
  <c r="E42" i="27"/>
  <c r="H41" i="27"/>
  <c r="D42" i="27"/>
  <c r="G37" i="39"/>
  <c r="I37" i="39" s="1"/>
  <c r="G35" i="43"/>
  <c r="I35" i="43" s="1"/>
  <c r="E119" i="46"/>
  <c r="F119" i="46" s="1"/>
  <c r="I118" i="46"/>
  <c r="H118" i="46"/>
  <c r="D38" i="45"/>
  <c r="E38" i="45" s="1"/>
  <c r="H37" i="45"/>
  <c r="G37" i="45"/>
  <c r="D39" i="37"/>
  <c r="E39" i="37"/>
  <c r="G40" i="29"/>
  <c r="H40" i="29"/>
  <c r="D41" i="29"/>
  <c r="E41" i="29"/>
  <c r="G43" i="23"/>
  <c r="D44" i="23"/>
  <c r="E44" i="23" s="1"/>
  <c r="H43" i="23"/>
  <c r="J118" i="13"/>
  <c r="I47" i="9"/>
  <c r="G38" i="37"/>
  <c r="D48" i="11"/>
  <c r="E48" i="11" s="1"/>
  <c r="G47" i="11"/>
  <c r="H47" i="11"/>
  <c r="H39" i="30"/>
  <c r="D40" i="30"/>
  <c r="E40" i="30" s="1"/>
  <c r="G39" i="30"/>
  <c r="H45" i="5"/>
  <c r="D46" i="5"/>
  <c r="E46" i="5" s="1"/>
  <c r="G45" i="5"/>
  <c r="D38" i="39"/>
  <c r="E38" i="39"/>
  <c r="D46" i="4"/>
  <c r="E46" i="4" s="1"/>
  <c r="G45" i="4"/>
  <c r="H45" i="4"/>
  <c r="I37" i="13"/>
  <c r="G42" i="24"/>
  <c r="D43" i="24"/>
  <c r="H42" i="24"/>
  <c r="E43" i="24"/>
  <c r="I36" i="46"/>
  <c r="D37" i="41"/>
  <c r="E37" i="41"/>
  <c r="G44" i="25"/>
  <c r="H44" i="25"/>
  <c r="D45" i="25"/>
  <c r="E45" i="25"/>
  <c r="D47" i="8"/>
  <c r="H46" i="8"/>
  <c r="G46" i="8"/>
  <c r="E47" i="8"/>
  <c r="D37" i="40"/>
  <c r="E37" i="40"/>
  <c r="D37" i="42"/>
  <c r="E37" i="42"/>
  <c r="F48" i="9"/>
  <c r="B48" i="9"/>
  <c r="D49" i="7"/>
  <c r="E49" i="7" s="1"/>
  <c r="H48" i="7"/>
  <c r="G48" i="7"/>
  <c r="H46" i="6"/>
  <c r="D47" i="6"/>
  <c r="E47" i="6" s="1"/>
  <c r="G46" i="6"/>
  <c r="H36" i="40"/>
  <c r="I36" i="40" s="1"/>
  <c r="H45" i="3"/>
  <c r="D46" i="3"/>
  <c r="G45" i="3"/>
  <c r="E46" i="3"/>
  <c r="D38" i="38"/>
  <c r="E38" i="38"/>
  <c r="B37" i="46"/>
  <c r="D41" i="31"/>
  <c r="E41" i="31" s="1"/>
  <c r="G40" i="31"/>
  <c r="H40" i="31"/>
  <c r="H38" i="37"/>
  <c r="D50" i="10"/>
  <c r="G49" i="10"/>
  <c r="H49" i="10"/>
  <c r="E50" i="10"/>
  <c r="D45" i="22"/>
  <c r="G44" i="22"/>
  <c r="H44" i="22"/>
  <c r="E45" i="22"/>
  <c r="H40" i="28"/>
  <c r="D41" i="28"/>
  <c r="G40" i="28"/>
  <c r="E41" i="28"/>
  <c r="H36" i="41"/>
  <c r="I36" i="41" s="1"/>
  <c r="D36" i="43"/>
  <c r="E36" i="43"/>
  <c r="H36" i="42"/>
  <c r="I36" i="42" s="1"/>
  <c r="B38" i="13"/>
  <c r="F38" i="13"/>
  <c r="G38" i="13" s="1"/>
  <c r="E37" i="46"/>
  <c r="F37" i="46" s="1"/>
  <c r="D120" i="13"/>
  <c r="G119" i="13"/>
  <c r="I38" i="37" l="1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B42" i="27"/>
  <c r="I43" i="23"/>
  <c r="I41" i="27"/>
  <c r="J118" i="46"/>
  <c r="D120" i="46"/>
  <c r="G119" i="46"/>
  <c r="D38" i="46"/>
  <c r="E38" i="46" s="1"/>
  <c r="H37" i="46"/>
  <c r="G37" i="46"/>
  <c r="B46" i="3"/>
  <c r="F46" i="3"/>
  <c r="B40" i="30"/>
  <c r="F40" i="30"/>
  <c r="B41" i="28"/>
  <c r="F41" i="28"/>
  <c r="F38" i="38"/>
  <c r="H38" i="38" s="1"/>
  <c r="B38" i="38"/>
  <c r="I45" i="3"/>
  <c r="G48" i="9"/>
  <c r="D49" i="9"/>
  <c r="E49" i="9"/>
  <c r="H48" i="9"/>
  <c r="B37" i="40"/>
  <c r="F37" i="40"/>
  <c r="H37" i="40" s="1"/>
  <c r="B47" i="8"/>
  <c r="F47" i="8"/>
  <c r="B43" i="24"/>
  <c r="F43" i="24"/>
  <c r="B38" i="39"/>
  <c r="F38" i="39"/>
  <c r="H38" i="39" s="1"/>
  <c r="B48" i="11"/>
  <c r="F48" i="11"/>
  <c r="I37" i="45"/>
  <c r="B46" i="5"/>
  <c r="F46" i="5"/>
  <c r="F44" i="23"/>
  <c r="B44" i="23"/>
  <c r="D39" i="13"/>
  <c r="E39" i="13" s="1"/>
  <c r="B36" i="43"/>
  <c r="F36" i="43"/>
  <c r="G36" i="43" s="1"/>
  <c r="H38" i="13"/>
  <c r="I38" i="13" s="1"/>
  <c r="I40" i="28"/>
  <c r="B45" i="22"/>
  <c r="F45" i="22"/>
  <c r="B50" i="10"/>
  <c r="F50" i="10"/>
  <c r="B47" i="6"/>
  <c r="F47" i="6"/>
  <c r="I48" i="7"/>
  <c r="F41" i="31"/>
  <c r="B41" i="31"/>
  <c r="I46" i="6"/>
  <c r="B49" i="7"/>
  <c r="F49" i="7"/>
  <c r="B37" i="42"/>
  <c r="F37" i="42"/>
  <c r="H37" i="42" s="1"/>
  <c r="F45" i="25"/>
  <c r="B45" i="25"/>
  <c r="B37" i="41"/>
  <c r="F37" i="41"/>
  <c r="H37" i="41" s="1"/>
  <c r="F46" i="4"/>
  <c r="B46" i="4"/>
  <c r="I47" i="11"/>
  <c r="B41" i="29"/>
  <c r="F41" i="29"/>
  <c r="B39" i="37"/>
  <c r="F39" i="37"/>
  <c r="H39" i="37" s="1"/>
  <c r="F38" i="45"/>
  <c r="G38" i="45" s="1"/>
  <c r="B38" i="45"/>
  <c r="H119" i="13"/>
  <c r="I119" i="13"/>
  <c r="B120" i="13"/>
  <c r="E120" i="13"/>
  <c r="F120" i="13" s="1"/>
  <c r="G38" i="44" l="1"/>
  <c r="H38" i="44"/>
  <c r="D39" i="44"/>
  <c r="H38" i="45"/>
  <c r="I38" i="45" s="1"/>
  <c r="G37" i="40"/>
  <c r="I37" i="40"/>
  <c r="G38" i="38"/>
  <c r="I38" i="38" s="1"/>
  <c r="G37" i="41"/>
  <c r="I37" i="41" s="1"/>
  <c r="G37" i="42"/>
  <c r="I37" i="42" s="1"/>
  <c r="G42" i="27"/>
  <c r="H42" i="27"/>
  <c r="D43" i="27"/>
  <c r="H119" i="46"/>
  <c r="I119" i="46"/>
  <c r="E120" i="46"/>
  <c r="F120" i="46" s="1"/>
  <c r="B120" i="46"/>
  <c r="D46" i="22"/>
  <c r="G45" i="22"/>
  <c r="H45" i="22"/>
  <c r="E46" i="22"/>
  <c r="G45" i="25"/>
  <c r="H45" i="25"/>
  <c r="D46" i="25"/>
  <c r="E46" i="25"/>
  <c r="D37" i="43"/>
  <c r="E37" i="43"/>
  <c r="B39" i="13"/>
  <c r="F39" i="13"/>
  <c r="G38" i="39"/>
  <c r="I38" i="39" s="1"/>
  <c r="H43" i="24"/>
  <c r="D44" i="24"/>
  <c r="G43" i="24"/>
  <c r="E44" i="24"/>
  <c r="I48" i="9"/>
  <c r="I37" i="46"/>
  <c r="D41" i="30"/>
  <c r="E41" i="30" s="1"/>
  <c r="H40" i="30"/>
  <c r="G40" i="30"/>
  <c r="D39" i="45"/>
  <c r="E39" i="45" s="1"/>
  <c r="D38" i="41"/>
  <c r="E38" i="41" s="1"/>
  <c r="H49" i="7"/>
  <c r="D50" i="7"/>
  <c r="E50" i="7" s="1"/>
  <c r="G49" i="7"/>
  <c r="G41" i="31"/>
  <c r="D42" i="31"/>
  <c r="E42" i="31" s="1"/>
  <c r="H41" i="31"/>
  <c r="D51" i="10"/>
  <c r="H50" i="10"/>
  <c r="E51" i="10"/>
  <c r="G50" i="10"/>
  <c r="D38" i="40"/>
  <c r="E38" i="40"/>
  <c r="D42" i="28"/>
  <c r="E42" i="28" s="1"/>
  <c r="G41" i="28"/>
  <c r="H41" i="28"/>
  <c r="G46" i="3"/>
  <c r="H46" i="3"/>
  <c r="D47" i="3"/>
  <c r="E47" i="3"/>
  <c r="E40" i="37"/>
  <c r="D40" i="37"/>
  <c r="D48" i="6"/>
  <c r="E48" i="6" s="1"/>
  <c r="G47" i="6"/>
  <c r="H47" i="6"/>
  <c r="G46" i="5"/>
  <c r="H46" i="5"/>
  <c r="D47" i="5"/>
  <c r="E47" i="5" s="1"/>
  <c r="G39" i="37"/>
  <c r="I39" i="37" s="1"/>
  <c r="G41" i="29"/>
  <c r="D42" i="29"/>
  <c r="E42" i="29" s="1"/>
  <c r="H41" i="29"/>
  <c r="H46" i="4"/>
  <c r="D47" i="4"/>
  <c r="E47" i="4" s="1"/>
  <c r="G46" i="4"/>
  <c r="D38" i="42"/>
  <c r="E38" i="42"/>
  <c r="H36" i="43"/>
  <c r="I36" i="43" s="1"/>
  <c r="H44" i="23"/>
  <c r="D45" i="23"/>
  <c r="E45" i="23" s="1"/>
  <c r="G44" i="23"/>
  <c r="G48" i="11"/>
  <c r="H48" i="11"/>
  <c r="D49" i="11"/>
  <c r="E49" i="11" s="1"/>
  <c r="D39" i="39"/>
  <c r="E39" i="39"/>
  <c r="H47" i="8"/>
  <c r="D48" i="8"/>
  <c r="G47" i="8"/>
  <c r="E48" i="8"/>
  <c r="F49" i="9"/>
  <c r="B49" i="9"/>
  <c r="D39" i="38"/>
  <c r="E39" i="38"/>
  <c r="F38" i="46"/>
  <c r="H38" i="46" s="1"/>
  <c r="B38" i="46"/>
  <c r="J119" i="13"/>
  <c r="G120" i="13"/>
  <c r="D121" i="13"/>
  <c r="I38" i="44" l="1"/>
  <c r="E39" i="44"/>
  <c r="F39" i="44" s="1"/>
  <c r="B39" i="44"/>
  <c r="I46" i="5"/>
  <c r="I41" i="31"/>
  <c r="I43" i="24"/>
  <c r="I45" i="25"/>
  <c r="J119" i="46"/>
  <c r="I47" i="8"/>
  <c r="I48" i="11"/>
  <c r="I46" i="4"/>
  <c r="I47" i="6"/>
  <c r="I50" i="10"/>
  <c r="I41" i="28"/>
  <c r="B43" i="27"/>
  <c r="I42" i="27"/>
  <c r="E43" i="27"/>
  <c r="F43" i="27" s="1"/>
  <c r="G120" i="46"/>
  <c r="D121" i="46"/>
  <c r="B121" i="46" s="1"/>
  <c r="B49" i="11"/>
  <c r="F49" i="11"/>
  <c r="F47" i="4"/>
  <c r="B47" i="4"/>
  <c r="B45" i="23"/>
  <c r="F45" i="23"/>
  <c r="B38" i="42"/>
  <c r="F38" i="42"/>
  <c r="G38" i="42" s="1"/>
  <c r="B42" i="31"/>
  <c r="F42" i="31"/>
  <c r="B50" i="7"/>
  <c r="F50" i="7"/>
  <c r="I40" i="30"/>
  <c r="F46" i="22"/>
  <c r="B46" i="22"/>
  <c r="D50" i="9"/>
  <c r="E50" i="9" s="1"/>
  <c r="H49" i="9"/>
  <c r="G49" i="9"/>
  <c r="B47" i="5"/>
  <c r="F47" i="5"/>
  <c r="D40" i="13"/>
  <c r="E40" i="13" s="1"/>
  <c r="B39" i="38"/>
  <c r="F39" i="38"/>
  <c r="G39" i="38" s="1"/>
  <c r="B39" i="39"/>
  <c r="F39" i="39"/>
  <c r="I44" i="23"/>
  <c r="B48" i="6"/>
  <c r="F48" i="6"/>
  <c r="B47" i="3"/>
  <c r="F47" i="3"/>
  <c r="B38" i="40"/>
  <c r="F38" i="40"/>
  <c r="G38" i="40" s="1"/>
  <c r="B51" i="10"/>
  <c r="F51" i="10"/>
  <c r="I49" i="7"/>
  <c r="F39" i="45"/>
  <c r="B39" i="45"/>
  <c r="B41" i="30"/>
  <c r="F41" i="30"/>
  <c r="G39" i="13"/>
  <c r="D39" i="46"/>
  <c r="E39" i="46" s="1"/>
  <c r="F42" i="29"/>
  <c r="B42" i="29"/>
  <c r="F42" i="28"/>
  <c r="B42" i="28"/>
  <c r="F38" i="41"/>
  <c r="H38" i="41" s="1"/>
  <c r="B38" i="41"/>
  <c r="G38" i="46"/>
  <c r="I38" i="46" s="1"/>
  <c r="B48" i="8"/>
  <c r="F48" i="8"/>
  <c r="I41" i="29"/>
  <c r="F40" i="37"/>
  <c r="B40" i="37"/>
  <c r="I46" i="3"/>
  <c r="F44" i="24"/>
  <c r="B44" i="24"/>
  <c r="H39" i="13"/>
  <c r="I39" i="13" s="1"/>
  <c r="B37" i="43"/>
  <c r="F37" i="43"/>
  <c r="G37" i="43" s="1"/>
  <c r="F46" i="25"/>
  <c r="B46" i="25"/>
  <c r="I45" i="22"/>
  <c r="B121" i="13"/>
  <c r="I120" i="13"/>
  <c r="H120" i="13"/>
  <c r="E121" i="13"/>
  <c r="F121" i="13" s="1"/>
  <c r="H39" i="44" l="1"/>
  <c r="G39" i="44"/>
  <c r="D40" i="44"/>
  <c r="H38" i="40"/>
  <c r="I38" i="40" s="1"/>
  <c r="H43" i="27"/>
  <c r="D44" i="27"/>
  <c r="E44" i="27"/>
  <c r="G43" i="27"/>
  <c r="H120" i="46"/>
  <c r="I120" i="46"/>
  <c r="E121" i="46"/>
  <c r="F121" i="46" s="1"/>
  <c r="H46" i="25"/>
  <c r="G46" i="25"/>
  <c r="D47" i="25"/>
  <c r="E47" i="25"/>
  <c r="H42" i="29"/>
  <c r="G42" i="29"/>
  <c r="D43" i="29"/>
  <c r="E43" i="29"/>
  <c r="D40" i="45"/>
  <c r="F50" i="9"/>
  <c r="B50" i="9"/>
  <c r="H47" i="4"/>
  <c r="D48" i="4"/>
  <c r="G47" i="4"/>
  <c r="E48" i="4"/>
  <c r="H39" i="45"/>
  <c r="D39" i="40"/>
  <c r="E39" i="40"/>
  <c r="G47" i="3"/>
  <c r="H47" i="3"/>
  <c r="D48" i="3"/>
  <c r="E48" i="3"/>
  <c r="G50" i="7"/>
  <c r="H50" i="7"/>
  <c r="D51" i="7"/>
  <c r="E51" i="7" s="1"/>
  <c r="G45" i="23"/>
  <c r="D46" i="23"/>
  <c r="H45" i="23"/>
  <c r="E46" i="23"/>
  <c r="H49" i="11"/>
  <c r="D50" i="11"/>
  <c r="G49" i="11"/>
  <c r="E50" i="11"/>
  <c r="D41" i="37"/>
  <c r="E41" i="37" s="1"/>
  <c r="D39" i="41"/>
  <c r="E39" i="41"/>
  <c r="D42" i="30"/>
  <c r="H41" i="30"/>
  <c r="G41" i="30"/>
  <c r="E42" i="30"/>
  <c r="D40" i="39"/>
  <c r="E40" i="39"/>
  <c r="H47" i="5"/>
  <c r="D48" i="5"/>
  <c r="E48" i="5" s="1"/>
  <c r="G47" i="5"/>
  <c r="D38" i="43"/>
  <c r="E38" i="43"/>
  <c r="H40" i="37"/>
  <c r="H48" i="8"/>
  <c r="D49" i="8"/>
  <c r="E49" i="8" s="1"/>
  <c r="G48" i="8"/>
  <c r="H42" i="28"/>
  <c r="D43" i="28"/>
  <c r="E43" i="28" s="1"/>
  <c r="G42" i="28"/>
  <c r="F39" i="46"/>
  <c r="H39" i="46" s="1"/>
  <c r="B39" i="46"/>
  <c r="G39" i="45"/>
  <c r="H39" i="39"/>
  <c r="D40" i="38"/>
  <c r="E40" i="38"/>
  <c r="D39" i="42"/>
  <c r="E39" i="42" s="1"/>
  <c r="H37" i="43"/>
  <c r="I37" i="43" s="1"/>
  <c r="G44" i="24"/>
  <c r="H44" i="24"/>
  <c r="D45" i="24"/>
  <c r="E45" i="24"/>
  <c r="G40" i="37"/>
  <c r="G38" i="41"/>
  <c r="I38" i="41" s="1"/>
  <c r="D52" i="10"/>
  <c r="E52" i="10" s="1"/>
  <c r="H51" i="10"/>
  <c r="G51" i="10"/>
  <c r="G48" i="6"/>
  <c r="H48" i="6"/>
  <c r="D49" i="6"/>
  <c r="E49" i="6" s="1"/>
  <c r="G39" i="39"/>
  <c r="H39" i="38"/>
  <c r="I39" i="38" s="1"/>
  <c r="B40" i="13"/>
  <c r="F40" i="13"/>
  <c r="H40" i="13" s="1"/>
  <c r="I49" i="9"/>
  <c r="D47" i="22"/>
  <c r="E47" i="22" s="1"/>
  <c r="G46" i="22"/>
  <c r="H46" i="22"/>
  <c r="D43" i="31"/>
  <c r="E43" i="31" s="1"/>
  <c r="G42" i="31"/>
  <c r="H42" i="31"/>
  <c r="H38" i="42"/>
  <c r="I38" i="42" s="1"/>
  <c r="J120" i="13"/>
  <c r="D122" i="13"/>
  <c r="E122" i="13" s="1"/>
  <c r="G121" i="13"/>
  <c r="I39" i="44" l="1"/>
  <c r="E40" i="44"/>
  <c r="B40" i="44"/>
  <c r="F40" i="44"/>
  <c r="H40" i="44" s="1"/>
  <c r="I50" i="7"/>
  <c r="I47" i="3"/>
  <c r="I51" i="10"/>
  <c r="G39" i="46"/>
  <c r="I39" i="46" s="1"/>
  <c r="I42" i="28"/>
  <c r="I48" i="8"/>
  <c r="I41" i="30"/>
  <c r="B44" i="27"/>
  <c r="F44" i="27"/>
  <c r="G40" i="13"/>
  <c r="I40" i="13" s="1"/>
  <c r="I44" i="24"/>
  <c r="I49" i="11"/>
  <c r="I43" i="27"/>
  <c r="J120" i="46"/>
  <c r="G121" i="46"/>
  <c r="D122" i="46"/>
  <c r="B47" i="22"/>
  <c r="F47" i="22"/>
  <c r="B52" i="10"/>
  <c r="F52" i="10"/>
  <c r="F50" i="11"/>
  <c r="B50" i="11"/>
  <c r="D51" i="9"/>
  <c r="H50" i="9"/>
  <c r="E51" i="9"/>
  <c r="G50" i="9"/>
  <c r="I39" i="39"/>
  <c r="I40" i="37"/>
  <c r="B40" i="39"/>
  <c r="F40" i="39"/>
  <c r="G40" i="39" s="1"/>
  <c r="B42" i="30"/>
  <c r="F42" i="30"/>
  <c r="F51" i="7"/>
  <c r="B51" i="7"/>
  <c r="B48" i="3"/>
  <c r="F48" i="3"/>
  <c r="B39" i="40"/>
  <c r="F39" i="40"/>
  <c r="G39" i="40" s="1"/>
  <c r="B48" i="4"/>
  <c r="F48" i="4"/>
  <c r="B40" i="45"/>
  <c r="F40" i="38"/>
  <c r="H40" i="38" s="1"/>
  <c r="B40" i="38"/>
  <c r="F46" i="23"/>
  <c r="B46" i="23"/>
  <c r="F47" i="25"/>
  <c r="B47" i="25"/>
  <c r="I42" i="31"/>
  <c r="I46" i="22"/>
  <c r="D41" i="13"/>
  <c r="E41" i="13" s="1"/>
  <c r="B49" i="6"/>
  <c r="F49" i="6"/>
  <c r="F39" i="42"/>
  <c r="B39" i="42"/>
  <c r="D40" i="46"/>
  <c r="B48" i="5"/>
  <c r="F48" i="5"/>
  <c r="I39" i="45"/>
  <c r="I47" i="4"/>
  <c r="E40" i="45"/>
  <c r="F40" i="45" s="1"/>
  <c r="I42" i="29"/>
  <c r="I46" i="25"/>
  <c r="F43" i="31"/>
  <c r="B43" i="31"/>
  <c r="B45" i="24"/>
  <c r="F45" i="24"/>
  <c r="F41" i="37"/>
  <c r="H41" i="37" s="1"/>
  <c r="B41" i="37"/>
  <c r="B43" i="29"/>
  <c r="F43" i="29"/>
  <c r="I48" i="6"/>
  <c r="F43" i="28"/>
  <c r="B43" i="28"/>
  <c r="F49" i="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G40" i="44" l="1"/>
  <c r="I40" i="44" s="1"/>
  <c r="D41" i="44"/>
  <c r="E41" i="44" s="1"/>
  <c r="I50" i="9"/>
  <c r="G40" i="38"/>
  <c r="I40" i="38" s="1"/>
  <c r="H39" i="40"/>
  <c r="D45" i="27"/>
  <c r="E45" i="27"/>
  <c r="G44" i="27"/>
  <c r="H44" i="27"/>
  <c r="E122" i="46"/>
  <c r="F122" i="46" s="1"/>
  <c r="B122" i="46"/>
  <c r="H121" i="46"/>
  <c r="I121" i="46"/>
  <c r="D41" i="45"/>
  <c r="H40" i="45"/>
  <c r="G40" i="45"/>
  <c r="B40" i="46"/>
  <c r="D40" i="42"/>
  <c r="E40" i="42" s="1"/>
  <c r="I39" i="40"/>
  <c r="H52" i="10"/>
  <c r="D53" i="10"/>
  <c r="E53" i="10" s="1"/>
  <c r="G52" i="10"/>
  <c r="D40" i="41"/>
  <c r="E40" i="41" s="1"/>
  <c r="D44" i="28"/>
  <c r="H43" i="28"/>
  <c r="G43" i="28"/>
  <c r="E44" i="28"/>
  <c r="H45" i="24"/>
  <c r="D46" i="24"/>
  <c r="E46" i="24" s="1"/>
  <c r="G45" i="24"/>
  <c r="E40" i="46"/>
  <c r="F40" i="46" s="1"/>
  <c r="H39" i="42"/>
  <c r="B41" i="13"/>
  <c r="F41" i="13"/>
  <c r="G41" i="13" s="1"/>
  <c r="D48" i="25"/>
  <c r="E48" i="25" s="1"/>
  <c r="G47" i="25"/>
  <c r="H47" i="25"/>
  <c r="G51" i="7"/>
  <c r="D52" i="7"/>
  <c r="E52" i="7" s="1"/>
  <c r="H51" i="7"/>
  <c r="D41" i="39"/>
  <c r="E41" i="39"/>
  <c r="F51" i="9"/>
  <c r="B51" i="9"/>
  <c r="D42" i="37"/>
  <c r="E42" i="37"/>
  <c r="H48" i="4"/>
  <c r="G48" i="4"/>
  <c r="D49" i="4"/>
  <c r="E49" i="4"/>
  <c r="H39" i="41"/>
  <c r="I39" i="41" s="1"/>
  <c r="H48" i="5"/>
  <c r="D49" i="5"/>
  <c r="G48" i="5"/>
  <c r="E49" i="5"/>
  <c r="D50" i="6"/>
  <c r="E50" i="6" s="1"/>
  <c r="H49" i="6"/>
  <c r="G49" i="6"/>
  <c r="H48" i="3"/>
  <c r="G48" i="3"/>
  <c r="D49" i="3"/>
  <c r="E49" i="3"/>
  <c r="D43" i="30"/>
  <c r="E43" i="30" s="1"/>
  <c r="G42" i="30"/>
  <c r="H42" i="30"/>
  <c r="D48" i="22"/>
  <c r="E48" i="22" s="1"/>
  <c r="G47" i="22"/>
  <c r="H47" i="22"/>
  <c r="D39" i="43"/>
  <c r="E39" i="43" s="1"/>
  <c r="D44" i="31"/>
  <c r="E44" i="31" s="1"/>
  <c r="G43" i="31"/>
  <c r="H43" i="31"/>
  <c r="G38" i="43"/>
  <c r="I38" i="43" s="1"/>
  <c r="D50" i="8"/>
  <c r="E50" i="8" s="1"/>
  <c r="G49" i="8"/>
  <c r="H49" i="8"/>
  <c r="H43" i="29"/>
  <c r="G43" i="29"/>
  <c r="D44" i="29"/>
  <c r="E44" i="29"/>
  <c r="G41" i="37"/>
  <c r="I41" i="37" s="1"/>
  <c r="G39" i="42"/>
  <c r="D47" i="23"/>
  <c r="E47" i="23" s="1"/>
  <c r="G46" i="23"/>
  <c r="H46" i="23"/>
  <c r="D41" i="38"/>
  <c r="E41" i="38"/>
  <c r="D40" i="40"/>
  <c r="E40" i="40" s="1"/>
  <c r="H40" i="39"/>
  <c r="I40" i="39" s="1"/>
  <c r="H50" i="11"/>
  <c r="D51" i="11"/>
  <c r="E51" i="11" s="1"/>
  <c r="G50" i="11"/>
  <c r="J121" i="13"/>
  <c r="D123" i="13"/>
  <c r="E123" i="13" s="1"/>
  <c r="G122" i="13"/>
  <c r="I44" i="27" l="1"/>
  <c r="F41" i="44"/>
  <c r="G41" i="44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J121" i="46"/>
  <c r="G122" i="46"/>
  <c r="D123" i="46"/>
  <c r="B123" i="46" s="1"/>
  <c r="D41" i="46"/>
  <c r="G40" i="46"/>
  <c r="H40" i="46"/>
  <c r="F48" i="22"/>
  <c r="B48" i="22"/>
  <c r="B50" i="6"/>
  <c r="F50" i="6"/>
  <c r="B52" i="7"/>
  <c r="F52" i="7"/>
  <c r="F44" i="28"/>
  <c r="B44" i="28"/>
  <c r="B41" i="45"/>
  <c r="F41" i="38"/>
  <c r="G41" i="38" s="1"/>
  <c r="B41" i="38"/>
  <c r="B47" i="23"/>
  <c r="F47" i="23"/>
  <c r="B44" i="29"/>
  <c r="F44" i="29"/>
  <c r="I49" i="8"/>
  <c r="I48" i="4"/>
  <c r="F41" i="39"/>
  <c r="G41" i="39" s="1"/>
  <c r="B41" i="39"/>
  <c r="B53" i="10"/>
  <c r="F53" i="10"/>
  <c r="F40" i="42"/>
  <c r="G40" i="42" s="1"/>
  <c r="B40" i="42"/>
  <c r="E41" i="45"/>
  <c r="F41" i="45" s="1"/>
  <c r="D42" i="13"/>
  <c r="F44" i="31"/>
  <c r="B44" i="31"/>
  <c r="F49" i="3"/>
  <c r="B49" i="3"/>
  <c r="B48" i="25"/>
  <c r="F48" i="25"/>
  <c r="B40" i="41"/>
  <c r="F40" i="41"/>
  <c r="F39" i="43"/>
  <c r="G39" i="43" s="1"/>
  <c r="B39" i="43"/>
  <c r="B43" i="30"/>
  <c r="F43" i="30"/>
  <c r="F51" i="11"/>
  <c r="B51" i="11"/>
  <c r="B40" i="40"/>
  <c r="F40" i="40"/>
  <c r="H40" i="40" s="1"/>
  <c r="I46" i="23"/>
  <c r="I43" i="29"/>
  <c r="B50" i="8"/>
  <c r="F50" i="8"/>
  <c r="I49" i="6"/>
  <c r="B49" i="5"/>
  <c r="F49" i="5"/>
  <c r="F49" i="4"/>
  <c r="B49" i="4"/>
  <c r="B42" i="37"/>
  <c r="F42" i="37"/>
  <c r="G42" i="37" s="1"/>
  <c r="H51" i="9"/>
  <c r="D52" i="9"/>
  <c r="E52" i="9"/>
  <c r="G51" i="9"/>
  <c r="I51" i="7"/>
  <c r="H41" i="13"/>
  <c r="I41" i="13" s="1"/>
  <c r="I39" i="42"/>
  <c r="B46" i="24"/>
  <c r="F46" i="24"/>
  <c r="I43" i="28"/>
  <c r="I40" i="45"/>
  <c r="I122" i="13"/>
  <c r="H122" i="13"/>
  <c r="F123" i="13"/>
  <c r="B123" i="13"/>
  <c r="H41" i="44" l="1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G45" i="27"/>
  <c r="H45" i="27"/>
  <c r="E123" i="46"/>
  <c r="F123" i="46" s="1"/>
  <c r="D124" i="46" s="1"/>
  <c r="B124" i="46" s="1"/>
  <c r="H122" i="46"/>
  <c r="I122" i="46"/>
  <c r="D42" i="45"/>
  <c r="H41" i="45"/>
  <c r="G41" i="45"/>
  <c r="D41" i="41"/>
  <c r="E41" i="41"/>
  <c r="D45" i="31"/>
  <c r="G44" i="31"/>
  <c r="H44" i="31"/>
  <c r="E45" i="31"/>
  <c r="D47" i="24"/>
  <c r="E47" i="24" s="1"/>
  <c r="G46" i="24"/>
  <c r="H46" i="24"/>
  <c r="G43" i="30"/>
  <c r="H43" i="30"/>
  <c r="D44" i="30"/>
  <c r="E44" i="30"/>
  <c r="B42" i="13"/>
  <c r="D42" i="39"/>
  <c r="E42" i="39" s="1"/>
  <c r="D45" i="28"/>
  <c r="E45" i="28" s="1"/>
  <c r="H44" i="28"/>
  <c r="G44" i="28"/>
  <c r="F52" i="9"/>
  <c r="B52" i="9"/>
  <c r="G49" i="5"/>
  <c r="D50" i="5"/>
  <c r="H49" i="5"/>
  <c r="E50" i="5"/>
  <c r="D54" i="10"/>
  <c r="E54" i="10" s="1"/>
  <c r="H53" i="10"/>
  <c r="G53" i="10"/>
  <c r="G44" i="29"/>
  <c r="H44" i="29"/>
  <c r="D45" i="29"/>
  <c r="E45" i="29"/>
  <c r="D43" i="37"/>
  <c r="E43" i="37" s="1"/>
  <c r="D40" i="43"/>
  <c r="E40" i="43"/>
  <c r="H40" i="41"/>
  <c r="H49" i="3"/>
  <c r="G49" i="3"/>
  <c r="D50" i="3"/>
  <c r="E50" i="3"/>
  <c r="E42" i="13"/>
  <c r="F42" i="13" s="1"/>
  <c r="G42" i="13" s="1"/>
  <c r="H41" i="39"/>
  <c r="I41" i="39" s="1"/>
  <c r="D48" i="23"/>
  <c r="E48" i="23" s="1"/>
  <c r="H47" i="23"/>
  <c r="G47" i="23"/>
  <c r="D53" i="7"/>
  <c r="E53" i="7" s="1"/>
  <c r="G52" i="7"/>
  <c r="H52" i="7"/>
  <c r="B41" i="46"/>
  <c r="H51" i="11"/>
  <c r="D52" i="11"/>
  <c r="G51" i="11"/>
  <c r="E52" i="11"/>
  <c r="D51" i="6"/>
  <c r="H50" i="6"/>
  <c r="G50" i="6"/>
  <c r="E51" i="6"/>
  <c r="H42" i="37"/>
  <c r="I42" i="37" s="1"/>
  <c r="H49" i="4"/>
  <c r="G49" i="4"/>
  <c r="D50" i="4"/>
  <c r="E50" i="4" s="1"/>
  <c r="H50" i="8"/>
  <c r="D51" i="8"/>
  <c r="E51" i="8" s="1"/>
  <c r="G50" i="8"/>
  <c r="D41" i="40"/>
  <c r="E41" i="40"/>
  <c r="G40" i="41"/>
  <c r="D49" i="25"/>
  <c r="G48" i="25"/>
  <c r="H48" i="25"/>
  <c r="E49" i="25"/>
  <c r="D41" i="42"/>
  <c r="E41" i="42" s="1"/>
  <c r="D42" i="38"/>
  <c r="E42" i="38"/>
  <c r="G48" i="22"/>
  <c r="D49" i="22"/>
  <c r="H48" i="22"/>
  <c r="E49" i="22"/>
  <c r="E41" i="46"/>
  <c r="F41" i="46" s="1"/>
  <c r="G123" i="13"/>
  <c r="D124" i="13"/>
  <c r="J122" i="13"/>
  <c r="E124" i="46" l="1"/>
  <c r="F124" i="46" s="1"/>
  <c r="G124" i="46" s="1"/>
  <c r="E42" i="44"/>
  <c r="F42" i="44" s="1"/>
  <c r="B42" i="44"/>
  <c r="I45" i="27"/>
  <c r="F46" i="27"/>
  <c r="B46" i="27"/>
  <c r="I50" i="8"/>
  <c r="I49" i="4"/>
  <c r="I50" i="6"/>
  <c r="I40" i="41"/>
  <c r="I51" i="11"/>
  <c r="I47" i="23"/>
  <c r="I49" i="3"/>
  <c r="I46" i="24"/>
  <c r="G123" i="46"/>
  <c r="J122" i="46"/>
  <c r="D42" i="46"/>
  <c r="E42" i="46" s="1"/>
  <c r="H41" i="46"/>
  <c r="G41" i="46"/>
  <c r="F41" i="42"/>
  <c r="G41" i="42" s="1"/>
  <c r="B41" i="42"/>
  <c r="B51" i="6"/>
  <c r="F51" i="6"/>
  <c r="B53" i="7"/>
  <c r="F53" i="7"/>
  <c r="F54" i="10"/>
  <c r="B54" i="10"/>
  <c r="F42" i="39"/>
  <c r="H42" i="39" s="1"/>
  <c r="B42" i="39"/>
  <c r="B50" i="4"/>
  <c r="F50" i="4"/>
  <c r="F50" i="3"/>
  <c r="B50" i="3"/>
  <c r="I44" i="28"/>
  <c r="B44" i="30"/>
  <c r="F44" i="30"/>
  <c r="F45" i="31"/>
  <c r="B45" i="31"/>
  <c r="I41" i="45"/>
  <c r="F49" i="25"/>
  <c r="B49" i="25"/>
  <c r="F48" i="23"/>
  <c r="B48" i="23"/>
  <c r="B43" i="37"/>
  <c r="F43" i="37"/>
  <c r="H43" i="37" s="1"/>
  <c r="D43" i="13"/>
  <c r="I48" i="22"/>
  <c r="B42" i="38"/>
  <c r="F42" i="38"/>
  <c r="H42" i="38" s="1"/>
  <c r="I48" i="25"/>
  <c r="F51" i="8"/>
  <c r="B51" i="8"/>
  <c r="I52" i="7"/>
  <c r="B40" i="43"/>
  <c r="F40" i="43"/>
  <c r="G40" i="43" s="1"/>
  <c r="B45" i="29"/>
  <c r="F45" i="29"/>
  <c r="I53" i="10"/>
  <c r="G52" i="9"/>
  <c r="H52" i="9"/>
  <c r="D53" i="9"/>
  <c r="E53" i="9" s="1"/>
  <c r="F45" i="28"/>
  <c r="B45" i="28"/>
  <c r="H42" i="13"/>
  <c r="I42" i="13" s="1"/>
  <c r="I43" i="30"/>
  <c r="B42" i="45"/>
  <c r="F49" i="22"/>
  <c r="B49" i="22"/>
  <c r="B41" i="40"/>
  <c r="F41" i="40"/>
  <c r="G41" i="40" s="1"/>
  <c r="B52" i="11"/>
  <c r="F52" i="11"/>
  <c r="I44" i="29"/>
  <c r="B50" i="5"/>
  <c r="F50" i="5"/>
  <c r="F47" i="24"/>
  <c r="B47" i="24"/>
  <c r="I44" i="31"/>
  <c r="F41" i="41"/>
  <c r="H41" i="41" s="1"/>
  <c r="B41" i="41"/>
  <c r="E42" i="45"/>
  <c r="F42" i="45" s="1"/>
  <c r="D125" i="46"/>
  <c r="E125" i="46" s="1"/>
  <c r="H123" i="13"/>
  <c r="I123" i="13"/>
  <c r="B124" i="13"/>
  <c r="E124" i="13"/>
  <c r="F124" i="13" s="1"/>
  <c r="D43" i="44" l="1"/>
  <c r="G42" i="44"/>
  <c r="H42" i="44"/>
  <c r="H41" i="42"/>
  <c r="I41" i="42" s="1"/>
  <c r="G42" i="39"/>
  <c r="I42" i="39" s="1"/>
  <c r="G43" i="37"/>
  <c r="G41" i="41"/>
  <c r="I41" i="41" s="1"/>
  <c r="G42" i="38"/>
  <c r="I42" i="38" s="1"/>
  <c r="G46" i="27"/>
  <c r="H46" i="27"/>
  <c r="D47" i="27"/>
  <c r="H123" i="46"/>
  <c r="I123" i="46"/>
  <c r="D43" i="45"/>
  <c r="E43" i="45" s="1"/>
  <c r="H42" i="45"/>
  <c r="G42" i="45"/>
  <c r="D42" i="40"/>
  <c r="E42" i="40"/>
  <c r="D50" i="22"/>
  <c r="G49" i="22"/>
  <c r="H49" i="22"/>
  <c r="E50" i="22"/>
  <c r="H45" i="28"/>
  <c r="G45" i="28"/>
  <c r="D46" i="28"/>
  <c r="E46" i="28"/>
  <c r="I43" i="37"/>
  <c r="G48" i="23"/>
  <c r="D49" i="23"/>
  <c r="E49" i="23" s="1"/>
  <c r="H48" i="23"/>
  <c r="I41" i="46"/>
  <c r="H50" i="4"/>
  <c r="G50" i="4"/>
  <c r="D51" i="4"/>
  <c r="E51" i="4" s="1"/>
  <c r="D48" i="24"/>
  <c r="E48" i="24" s="1"/>
  <c r="G47" i="24"/>
  <c r="H47" i="24"/>
  <c r="G52" i="11"/>
  <c r="D53" i="11"/>
  <c r="E53" i="11" s="1"/>
  <c r="H52" i="11"/>
  <c r="B53" i="9"/>
  <c r="F53" i="9"/>
  <c r="D41" i="43"/>
  <c r="E41" i="43" s="1"/>
  <c r="D43" i="38"/>
  <c r="E43" i="38"/>
  <c r="B43" i="13"/>
  <c r="D44" i="37"/>
  <c r="E44" i="37" s="1"/>
  <c r="H45" i="31"/>
  <c r="D46" i="31"/>
  <c r="G45" i="31"/>
  <c r="E46" i="31"/>
  <c r="H51" i="6"/>
  <c r="D52" i="6"/>
  <c r="E52" i="6" s="1"/>
  <c r="G51" i="6"/>
  <c r="G53" i="7"/>
  <c r="D54" i="7"/>
  <c r="E54" i="7" s="1"/>
  <c r="H53" i="7"/>
  <c r="D42" i="41"/>
  <c r="E42" i="41"/>
  <c r="G50" i="5"/>
  <c r="D51" i="5"/>
  <c r="H50" i="5"/>
  <c r="E51" i="5"/>
  <c r="H41" i="40"/>
  <c r="I41" i="40" s="1"/>
  <c r="I52" i="9"/>
  <c r="G45" i="29"/>
  <c r="H45" i="29"/>
  <c r="D46" i="29"/>
  <c r="E46" i="29" s="1"/>
  <c r="H40" i="43"/>
  <c r="I40" i="43" s="1"/>
  <c r="G51" i="8"/>
  <c r="D52" i="8"/>
  <c r="E52" i="8" s="1"/>
  <c r="H51" i="8"/>
  <c r="E43" i="13"/>
  <c r="F43" i="13" s="1"/>
  <c r="G49" i="25"/>
  <c r="H49" i="25"/>
  <c r="D50" i="25"/>
  <c r="E50" i="25"/>
  <c r="G44" i="30"/>
  <c r="H44" i="30"/>
  <c r="D45" i="30"/>
  <c r="E45" i="30"/>
  <c r="G50" i="3"/>
  <c r="D51" i="3"/>
  <c r="H50" i="3"/>
  <c r="E51" i="3"/>
  <c r="D43" i="39"/>
  <c r="E43" i="39" s="1"/>
  <c r="H54" i="10"/>
  <c r="D55" i="10"/>
  <c r="E55" i="10" s="1"/>
  <c r="G54" i="10"/>
  <c r="D42" i="42"/>
  <c r="E42" i="42"/>
  <c r="B42" i="46"/>
  <c r="F42" i="46"/>
  <c r="G42" i="46" s="1"/>
  <c r="J123" i="13"/>
  <c r="G124" i="13"/>
  <c r="D125" i="13"/>
  <c r="E125" i="13" s="1"/>
  <c r="F125" i="46"/>
  <c r="B125" i="46"/>
  <c r="H124" i="46"/>
  <c r="I124" i="46"/>
  <c r="I42" i="44" l="1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I44" i="30"/>
  <c r="I49" i="25"/>
  <c r="I51" i="8"/>
  <c r="J123" i="46"/>
  <c r="D44" i="13"/>
  <c r="H43" i="13"/>
  <c r="G43" i="13"/>
  <c r="B43" i="39"/>
  <c r="F43" i="39"/>
  <c r="G43" i="39" s="1"/>
  <c r="F52" i="8"/>
  <c r="B52" i="8"/>
  <c r="B46" i="29"/>
  <c r="F46" i="29"/>
  <c r="B43" i="38"/>
  <c r="F43" i="38"/>
  <c r="B48" i="24"/>
  <c r="F48" i="24"/>
  <c r="I50" i="4"/>
  <c r="I42" i="45"/>
  <c r="B46" i="31"/>
  <c r="F46" i="31"/>
  <c r="H53" i="9"/>
  <c r="G53" i="9"/>
  <c r="D54" i="9"/>
  <c r="E54" i="9" s="1"/>
  <c r="D43" i="46"/>
  <c r="E43" i="46" s="1"/>
  <c r="B55" i="10"/>
  <c r="F55" i="10"/>
  <c r="B54" i="7"/>
  <c r="F54" i="7"/>
  <c r="F52" i="6"/>
  <c r="B52" i="6"/>
  <c r="B44" i="37"/>
  <c r="F44" i="37"/>
  <c r="H44" i="37" s="1"/>
  <c r="F49" i="23"/>
  <c r="B49" i="23"/>
  <c r="B46" i="28"/>
  <c r="F46" i="28"/>
  <c r="F42" i="40"/>
  <c r="G42" i="40" s="1"/>
  <c r="B42" i="40"/>
  <c r="F51" i="3"/>
  <c r="B51" i="3"/>
  <c r="B51" i="5"/>
  <c r="F51" i="5"/>
  <c r="F53" i="11"/>
  <c r="B53" i="11"/>
  <c r="F50" i="22"/>
  <c r="B50" i="22"/>
  <c r="B42" i="42"/>
  <c r="F42" i="42"/>
  <c r="G42" i="42" s="1"/>
  <c r="I54" i="10"/>
  <c r="I50" i="3"/>
  <c r="B45" i="30"/>
  <c r="F45" i="30"/>
  <c r="F50" i="25"/>
  <c r="B50" i="25"/>
  <c r="B42" i="41"/>
  <c r="F42" i="41"/>
  <c r="I51" i="6"/>
  <c r="B41" i="43"/>
  <c r="F41" i="43"/>
  <c r="H41" i="43" s="1"/>
  <c r="I52" i="11"/>
  <c r="I47" i="24"/>
  <c r="B51" i="4"/>
  <c r="F51" i="4"/>
  <c r="B43" i="45"/>
  <c r="F43" i="45"/>
  <c r="H43" i="45" s="1"/>
  <c r="J124" i="46"/>
  <c r="G125" i="46"/>
  <c r="D126" i="46"/>
  <c r="E126" i="46" s="1"/>
  <c r="B125" i="13"/>
  <c r="F125" i="13"/>
  <c r="I124" i="13"/>
  <c r="H124" i="13"/>
  <c r="G43" i="44" l="1"/>
  <c r="D44" i="44"/>
  <c r="H43" i="44"/>
  <c r="G41" i="43"/>
  <c r="I41" i="43" s="1"/>
  <c r="H47" i="27"/>
  <c r="D48" i="27"/>
  <c r="G47" i="27"/>
  <c r="G43" i="45"/>
  <c r="I43" i="45" s="1"/>
  <c r="D43" i="41"/>
  <c r="E43" i="41"/>
  <c r="H54" i="7"/>
  <c r="D55" i="7"/>
  <c r="G54" i="7"/>
  <c r="E55" i="7"/>
  <c r="D44" i="38"/>
  <c r="E44" i="38" s="1"/>
  <c r="H42" i="41"/>
  <c r="G45" i="30"/>
  <c r="H45" i="30"/>
  <c r="D46" i="30"/>
  <c r="E46" i="30"/>
  <c r="H42" i="42"/>
  <c r="I42" i="42" s="1"/>
  <c r="H53" i="11"/>
  <c r="D54" i="11"/>
  <c r="G53" i="11"/>
  <c r="E54" i="11"/>
  <c r="H51" i="3"/>
  <c r="D52" i="3"/>
  <c r="G51" i="3"/>
  <c r="E52" i="3"/>
  <c r="D43" i="40"/>
  <c r="E43" i="40"/>
  <c r="H49" i="23"/>
  <c r="D50" i="23"/>
  <c r="E50" i="23" s="1"/>
  <c r="G49" i="23"/>
  <c r="G44" i="37"/>
  <c r="I44" i="37" s="1"/>
  <c r="I53" i="9"/>
  <c r="G43" i="38"/>
  <c r="D44" i="39"/>
  <c r="E44" i="39"/>
  <c r="I43" i="13"/>
  <c r="H50" i="25"/>
  <c r="D51" i="25"/>
  <c r="G50" i="25"/>
  <c r="E51" i="25"/>
  <c r="F43" i="46"/>
  <c r="H43" i="46" s="1"/>
  <c r="B43" i="46"/>
  <c r="D47" i="29"/>
  <c r="E47" i="29" s="1"/>
  <c r="G46" i="29"/>
  <c r="H46" i="29"/>
  <c r="D44" i="45"/>
  <c r="G51" i="4"/>
  <c r="H51" i="4"/>
  <c r="D52" i="4"/>
  <c r="E52" i="4" s="1"/>
  <c r="D42" i="43"/>
  <c r="E42" i="43"/>
  <c r="H51" i="5"/>
  <c r="D52" i="5"/>
  <c r="G51" i="5"/>
  <c r="E52" i="5"/>
  <c r="H42" i="40"/>
  <c r="I42" i="40" s="1"/>
  <c r="G46" i="28"/>
  <c r="H46" i="28"/>
  <c r="D47" i="28"/>
  <c r="E47" i="28"/>
  <c r="G55" i="10"/>
  <c r="H55" i="10"/>
  <c r="D56" i="10"/>
  <c r="E56" i="10" s="1"/>
  <c r="H46" i="31"/>
  <c r="G46" i="31"/>
  <c r="D47" i="31"/>
  <c r="E47" i="31"/>
  <c r="D49" i="24"/>
  <c r="G48" i="24"/>
  <c r="H48" i="24"/>
  <c r="E49" i="24"/>
  <c r="H43" i="39"/>
  <c r="I43" i="39" s="1"/>
  <c r="B44" i="13"/>
  <c r="G42" i="41"/>
  <c r="D43" i="42"/>
  <c r="E43" i="42"/>
  <c r="H50" i="22"/>
  <c r="D51" i="22"/>
  <c r="G50" i="22"/>
  <c r="E51" i="22"/>
  <c r="D45" i="37"/>
  <c r="E45" i="37" s="1"/>
  <c r="H52" i="6"/>
  <c r="D53" i="6"/>
  <c r="E53" i="6" s="1"/>
  <c r="G52" i="6"/>
  <c r="B54" i="9"/>
  <c r="F54" i="9"/>
  <c r="H43" i="38"/>
  <c r="D53" i="8"/>
  <c r="H52" i="8"/>
  <c r="G52" i="8"/>
  <c r="E53" i="8"/>
  <c r="E44" i="13"/>
  <c r="F44" i="13" s="1"/>
  <c r="G44" i="13" s="1"/>
  <c r="H125" i="46"/>
  <c r="I125" i="46"/>
  <c r="D126" i="13"/>
  <c r="G125" i="13"/>
  <c r="J124" i="13"/>
  <c r="B126" i="46"/>
  <c r="F126" i="46"/>
  <c r="I43" i="44" l="1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B53" i="6"/>
  <c r="F53" i="6"/>
  <c r="F52" i="5"/>
  <c r="B52" i="5"/>
  <c r="I52" i="8"/>
  <c r="B43" i="42"/>
  <c r="F43" i="42"/>
  <c r="G43" i="42" s="1"/>
  <c r="F56" i="10"/>
  <c r="B56" i="10"/>
  <c r="F52" i="4"/>
  <c r="B52" i="4"/>
  <c r="I42" i="41"/>
  <c r="H54" i="9"/>
  <c r="D55" i="9"/>
  <c r="E55" i="9"/>
  <c r="G54" i="9"/>
  <c r="D45" i="13"/>
  <c r="F44" i="38"/>
  <c r="G44" i="38" s="1"/>
  <c r="B44" i="38"/>
  <c r="B53" i="8"/>
  <c r="F53" i="8"/>
  <c r="F51" i="22"/>
  <c r="B51" i="22"/>
  <c r="F47" i="31"/>
  <c r="B47" i="31"/>
  <c r="I55" i="10"/>
  <c r="F47" i="28"/>
  <c r="B47" i="28"/>
  <c r="B44" i="45"/>
  <c r="D44" i="46"/>
  <c r="E44" i="46" s="1"/>
  <c r="F51" i="25"/>
  <c r="B51" i="25"/>
  <c r="B44" i="39"/>
  <c r="F44" i="39"/>
  <c r="G44" i="39" s="1"/>
  <c r="F52" i="3"/>
  <c r="B52" i="3"/>
  <c r="B54" i="11"/>
  <c r="F54" i="11"/>
  <c r="F46" i="30"/>
  <c r="B46" i="30"/>
  <c r="F43" i="41"/>
  <c r="G43" i="41" s="1"/>
  <c r="B43" i="41"/>
  <c r="F49" i="24"/>
  <c r="B49" i="24"/>
  <c r="F50" i="23"/>
  <c r="B50" i="23"/>
  <c r="B45" i="37"/>
  <c r="F45" i="37"/>
  <c r="H45" i="37" s="1"/>
  <c r="I50" i="22"/>
  <c r="H44" i="13"/>
  <c r="I44" i="13" s="1"/>
  <c r="I46" i="28"/>
  <c r="B42" i="43"/>
  <c r="F42" i="43"/>
  <c r="G42" i="43" s="1"/>
  <c r="E44" i="45"/>
  <c r="F44" i="45" s="1"/>
  <c r="F47" i="29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I125" i="13"/>
  <c r="H125" i="13"/>
  <c r="B126" i="13"/>
  <c r="D127" i="46"/>
  <c r="E127" i="46" s="1"/>
  <c r="G126" i="46"/>
  <c r="E126" i="13"/>
  <c r="F126" i="13" s="1"/>
  <c r="J125" i="46"/>
  <c r="G44" i="44" l="1"/>
  <c r="I44" i="44" s="1"/>
  <c r="D45" i="44"/>
  <c r="I54" i="9"/>
  <c r="H43" i="41"/>
  <c r="I43" i="41" s="1"/>
  <c r="H43" i="42"/>
  <c r="I43" i="42" s="1"/>
  <c r="G48" i="27"/>
  <c r="D49" i="27"/>
  <c r="E49" i="27"/>
  <c r="H48" i="27"/>
  <c r="H44" i="38"/>
  <c r="I44" i="38" s="1"/>
  <c r="H44" i="39"/>
  <c r="I44" i="39" s="1"/>
  <c r="D45" i="45"/>
  <c r="E45" i="45" s="1"/>
  <c r="H44" i="45"/>
  <c r="G44" i="45"/>
  <c r="G51" i="22"/>
  <c r="D52" i="22"/>
  <c r="E52" i="22" s="1"/>
  <c r="H51" i="22"/>
  <c r="D44" i="40"/>
  <c r="E44" i="40"/>
  <c r="D43" i="43"/>
  <c r="E43" i="43" s="1"/>
  <c r="D46" i="37"/>
  <c r="E46" i="37"/>
  <c r="H50" i="23"/>
  <c r="G50" i="23"/>
  <c r="D51" i="23"/>
  <c r="E51" i="23"/>
  <c r="D47" i="30"/>
  <c r="E47" i="30" s="1"/>
  <c r="H46" i="30"/>
  <c r="G46" i="30"/>
  <c r="G52" i="3"/>
  <c r="D53" i="3"/>
  <c r="H52" i="3"/>
  <c r="E53" i="3"/>
  <c r="B44" i="46"/>
  <c r="F44" i="46"/>
  <c r="G44" i="46" s="1"/>
  <c r="G53" i="8"/>
  <c r="H53" i="8"/>
  <c r="D54" i="8"/>
  <c r="E54" i="8"/>
  <c r="D45" i="38"/>
  <c r="E45" i="38" s="1"/>
  <c r="H56" i="10"/>
  <c r="D57" i="10"/>
  <c r="E57" i="10" s="1"/>
  <c r="G56" i="10"/>
  <c r="H53" i="6"/>
  <c r="D54" i="6"/>
  <c r="E54" i="6" s="1"/>
  <c r="G53" i="6"/>
  <c r="B45" i="13"/>
  <c r="G54" i="11"/>
  <c r="H54" i="11"/>
  <c r="D55" i="11"/>
  <c r="E55" i="11"/>
  <c r="D45" i="39"/>
  <c r="E45" i="39" s="1"/>
  <c r="D48" i="31"/>
  <c r="E48" i="31" s="1"/>
  <c r="G47" i="31"/>
  <c r="H47" i="31"/>
  <c r="H52" i="5"/>
  <c r="D53" i="5"/>
  <c r="E53" i="5" s="1"/>
  <c r="G52" i="5"/>
  <c r="H55" i="7"/>
  <c r="G55" i="7"/>
  <c r="D56" i="7"/>
  <c r="E56" i="7"/>
  <c r="H43" i="40"/>
  <c r="I43" i="40" s="1"/>
  <c r="D48" i="29"/>
  <c r="E48" i="29" s="1"/>
  <c r="H47" i="29"/>
  <c r="G47" i="29"/>
  <c r="H42" i="43"/>
  <c r="I42" i="43" s="1"/>
  <c r="G45" i="37"/>
  <c r="I45" i="37" s="1"/>
  <c r="H49" i="24"/>
  <c r="D50" i="24"/>
  <c r="E50" i="24" s="1"/>
  <c r="G49" i="24"/>
  <c r="D44" i="41"/>
  <c r="E44" i="41"/>
  <c r="G51" i="25"/>
  <c r="H51" i="25"/>
  <c r="D52" i="25"/>
  <c r="E52" i="25"/>
  <c r="G47" i="28"/>
  <c r="H47" i="28"/>
  <c r="D48" i="28"/>
  <c r="E48" i="28"/>
  <c r="E45" i="13"/>
  <c r="F45" i="13" s="1"/>
  <c r="F55" i="9"/>
  <c r="B55" i="9"/>
  <c r="H52" i="4"/>
  <c r="D53" i="4"/>
  <c r="E53" i="4" s="1"/>
  <c r="G52" i="4"/>
  <c r="D44" i="42"/>
  <c r="E44" i="42"/>
  <c r="H126" i="46"/>
  <c r="I126" i="46"/>
  <c r="J125" i="13"/>
  <c r="D127" i="13"/>
  <c r="G126" i="13"/>
  <c r="F127" i="46"/>
  <c r="B127" i="46"/>
  <c r="E45" i="44" l="1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B49" i="27"/>
  <c r="I47" i="29"/>
  <c r="I54" i="11"/>
  <c r="I46" i="30"/>
  <c r="D46" i="13"/>
  <c r="E46" i="13" s="1"/>
  <c r="G45" i="13"/>
  <c r="H45" i="13"/>
  <c r="I45" i="13" s="1"/>
  <c r="B44" i="41"/>
  <c r="F44" i="41"/>
  <c r="G44" i="41" s="1"/>
  <c r="B45" i="38"/>
  <c r="F45" i="38"/>
  <c r="G45" i="38" s="1"/>
  <c r="H55" i="9"/>
  <c r="G55" i="9"/>
  <c r="D56" i="9"/>
  <c r="E56" i="9" s="1"/>
  <c r="B50" i="24"/>
  <c r="F50" i="24"/>
  <c r="B48" i="29"/>
  <c r="F48" i="29"/>
  <c r="B53" i="5"/>
  <c r="F53" i="5"/>
  <c r="I47" i="31"/>
  <c r="B45" i="39"/>
  <c r="F45" i="39"/>
  <c r="H45" i="39" s="1"/>
  <c r="F54" i="6"/>
  <c r="B54" i="6"/>
  <c r="I56" i="10"/>
  <c r="D45" i="46"/>
  <c r="E45" i="46" s="1"/>
  <c r="F52" i="22"/>
  <c r="B52" i="22"/>
  <c r="I44" i="45"/>
  <c r="F48" i="28"/>
  <c r="B48" i="28"/>
  <c r="B57" i="10"/>
  <c r="F57" i="10"/>
  <c r="F47" i="30"/>
  <c r="B47" i="30"/>
  <c r="B43" i="43"/>
  <c r="F43" i="43"/>
  <c r="G43" i="43" s="1"/>
  <c r="B53" i="4"/>
  <c r="F53" i="4"/>
  <c r="I49" i="24"/>
  <c r="I55" i="7"/>
  <c r="I53" i="6"/>
  <c r="B54" i="8"/>
  <c r="F54" i="8"/>
  <c r="I52" i="3"/>
  <c r="F51" i="23"/>
  <c r="B51" i="23"/>
  <c r="B46" i="37"/>
  <c r="F46" i="37"/>
  <c r="G46" i="37" s="1"/>
  <c r="B44" i="40"/>
  <c r="F44" i="40"/>
  <c r="H44" i="40" s="1"/>
  <c r="F52" i="25"/>
  <c r="B52" i="25"/>
  <c r="F56" i="7"/>
  <c r="B56" i="7"/>
  <c r="F44" i="42"/>
  <c r="H44" i="42" s="1"/>
  <c r="B44" i="42"/>
  <c r="F48" i="31"/>
  <c r="B48" i="31"/>
  <c r="F55" i="11"/>
  <c r="B55" i="11"/>
  <c r="I53" i="8"/>
  <c r="F53" i="3"/>
  <c r="B53" i="3"/>
  <c r="F45" i="45"/>
  <c r="H45" i="45" s="1"/>
  <c r="B45" i="45"/>
  <c r="B127" i="13"/>
  <c r="D128" i="46"/>
  <c r="G127" i="46"/>
  <c r="H126" i="13"/>
  <c r="I126" i="13"/>
  <c r="E127" i="13"/>
  <c r="F127" i="13" s="1"/>
  <c r="J126" i="46"/>
  <c r="G45" i="39" l="1"/>
  <c r="G44" i="42"/>
  <c r="I44" i="42" s="1"/>
  <c r="G45" i="44"/>
  <c r="I45" i="44" s="1"/>
  <c r="D46" i="44"/>
  <c r="H46" i="37"/>
  <c r="G45" i="45"/>
  <c r="I45" i="45" s="1"/>
  <c r="H43" i="43"/>
  <c r="I43" i="43" s="1"/>
  <c r="G49" i="27"/>
  <c r="H49" i="27"/>
  <c r="D50" i="27"/>
  <c r="I55" i="9"/>
  <c r="G47" i="30"/>
  <c r="H47" i="30"/>
  <c r="D48" i="30"/>
  <c r="E48" i="30" s="1"/>
  <c r="D49" i="28"/>
  <c r="E49" i="28" s="1"/>
  <c r="G48" i="28"/>
  <c r="H48" i="28"/>
  <c r="D55" i="6"/>
  <c r="E55" i="6" s="1"/>
  <c r="G54" i="6"/>
  <c r="H54" i="6"/>
  <c r="D56" i="11"/>
  <c r="E56" i="11" s="1"/>
  <c r="G55" i="11"/>
  <c r="H55" i="11"/>
  <c r="D57" i="7"/>
  <c r="E57" i="7" s="1"/>
  <c r="G56" i="7"/>
  <c r="H56" i="7"/>
  <c r="D45" i="40"/>
  <c r="E45" i="40"/>
  <c r="I46" i="37"/>
  <c r="G51" i="23"/>
  <c r="H51" i="23"/>
  <c r="D52" i="23"/>
  <c r="E52" i="23" s="1"/>
  <c r="D54" i="4"/>
  <c r="E54" i="4" s="1"/>
  <c r="G53" i="4"/>
  <c r="H53" i="4"/>
  <c r="G57" i="10"/>
  <c r="D58" i="10"/>
  <c r="E58" i="10" s="1"/>
  <c r="H57" i="10"/>
  <c r="D46" i="38"/>
  <c r="E46" i="38"/>
  <c r="D45" i="41"/>
  <c r="E45" i="41"/>
  <c r="H54" i="8"/>
  <c r="D55" i="8"/>
  <c r="G54" i="8"/>
  <c r="E55" i="8"/>
  <c r="F56" i="9"/>
  <c r="B56" i="9"/>
  <c r="G53" i="3"/>
  <c r="D54" i="3"/>
  <c r="H53" i="3"/>
  <c r="E54" i="3"/>
  <c r="D45" i="42"/>
  <c r="E45" i="42" s="1"/>
  <c r="G44" i="40"/>
  <c r="I44" i="40" s="1"/>
  <c r="D47" i="37"/>
  <c r="E47" i="37" s="1"/>
  <c r="D46" i="39"/>
  <c r="E46" i="39"/>
  <c r="D54" i="5"/>
  <c r="E54" i="5" s="1"/>
  <c r="G53" i="5"/>
  <c r="H53" i="5"/>
  <c r="G50" i="24"/>
  <c r="D51" i="24"/>
  <c r="E51" i="24" s="1"/>
  <c r="H50" i="24"/>
  <c r="H44" i="41"/>
  <c r="I44" i="41" s="1"/>
  <c r="B45" i="46"/>
  <c r="F45" i="46"/>
  <c r="H48" i="29"/>
  <c r="G48" i="29"/>
  <c r="D49" i="29"/>
  <c r="E49" i="29" s="1"/>
  <c r="D46" i="45"/>
  <c r="D49" i="31"/>
  <c r="E49" i="31" s="1"/>
  <c r="H48" i="31"/>
  <c r="G48" i="31"/>
  <c r="H52" i="25"/>
  <c r="D53" i="25"/>
  <c r="E53" i="25" s="1"/>
  <c r="G52" i="25"/>
  <c r="D44" i="43"/>
  <c r="E44" i="43" s="1"/>
  <c r="H52" i="22"/>
  <c r="G52" i="22"/>
  <c r="D53" i="22"/>
  <c r="E53" i="22" s="1"/>
  <c r="I45" i="39"/>
  <c r="H45" i="38"/>
  <c r="I45" i="38" s="1"/>
  <c r="F46" i="13"/>
  <c r="G46" i="13" s="1"/>
  <c r="H46" i="13"/>
  <c r="B46" i="13"/>
  <c r="J126" i="13"/>
  <c r="G127" i="13"/>
  <c r="D128" i="13"/>
  <c r="E128" i="13" s="1"/>
  <c r="H127" i="46"/>
  <c r="I127" i="46"/>
  <c r="B128" i="46"/>
  <c r="E128" i="46"/>
  <c r="F128" i="46" s="1"/>
  <c r="E46" i="44" l="1"/>
  <c r="F46" i="44" s="1"/>
  <c r="B46" i="44"/>
  <c r="I47" i="30"/>
  <c r="I48" i="31"/>
  <c r="I52" i="25"/>
  <c r="I46" i="13"/>
  <c r="I51" i="23"/>
  <c r="B50" i="27"/>
  <c r="I53" i="3"/>
  <c r="I49" i="27"/>
  <c r="I50" i="24"/>
  <c r="I54" i="8"/>
  <c r="E50" i="27"/>
  <c r="F50" i="27" s="1"/>
  <c r="F49" i="31"/>
  <c r="B49" i="31"/>
  <c r="D46" i="46"/>
  <c r="D57" i="9"/>
  <c r="E57" i="9" s="1"/>
  <c r="H56" i="9"/>
  <c r="G56" i="9"/>
  <c r="F55" i="8"/>
  <c r="B55" i="8"/>
  <c r="F45" i="41"/>
  <c r="B45" i="41"/>
  <c r="F54" i="4"/>
  <c r="B54" i="4"/>
  <c r="F45" i="40"/>
  <c r="G45" i="40"/>
  <c r="B45" i="40"/>
  <c r="B57" i="7"/>
  <c r="F57" i="7"/>
  <c r="B49" i="29"/>
  <c r="F49" i="29"/>
  <c r="I52" i="22"/>
  <c r="B46" i="45"/>
  <c r="G45" i="46"/>
  <c r="F46" i="39"/>
  <c r="B46" i="39"/>
  <c r="B54" i="3"/>
  <c r="F54" i="3"/>
  <c r="I57" i="10"/>
  <c r="F56" i="11"/>
  <c r="B56" i="11"/>
  <c r="B55" i="6"/>
  <c r="F55" i="6"/>
  <c r="B49" i="28"/>
  <c r="F49" i="28"/>
  <c r="D47" i="13"/>
  <c r="E47" i="13" s="1"/>
  <c r="E46" i="45"/>
  <c r="F46" i="45" s="1"/>
  <c r="I48" i="29"/>
  <c r="B51" i="24"/>
  <c r="F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F44" i="43"/>
  <c r="B44" i="43"/>
  <c r="B53" i="25"/>
  <c r="F53" i="25"/>
  <c r="H45" i="46"/>
  <c r="F54" i="5"/>
  <c r="B54" i="5"/>
  <c r="B58" i="10"/>
  <c r="F58" i="10"/>
  <c r="B52" i="23"/>
  <c r="F52" i="23"/>
  <c r="I55" i="11"/>
  <c r="I54" i="6"/>
  <c r="I48" i="28"/>
  <c r="B48" i="30"/>
  <c r="F48" i="30"/>
  <c r="J127" i="46"/>
  <c r="D129" i="46"/>
  <c r="E129" i="46" s="1"/>
  <c r="G128" i="46"/>
  <c r="F128" i="13"/>
  <c r="B128" i="13"/>
  <c r="H127" i="13"/>
  <c r="I127" i="13"/>
  <c r="H46" i="44" l="1"/>
  <c r="D47" i="44"/>
  <c r="G46" i="44"/>
  <c r="G47" i="37"/>
  <c r="I47" i="37" s="1"/>
  <c r="I45" i="46"/>
  <c r="H50" i="27"/>
  <c r="G50" i="27"/>
  <c r="D51" i="27"/>
  <c r="D47" i="45"/>
  <c r="E47" i="45" s="1"/>
  <c r="H46" i="45"/>
  <c r="G46" i="45"/>
  <c r="D49" i="30"/>
  <c r="G48" i="30"/>
  <c r="H48" i="30"/>
  <c r="E49" i="30"/>
  <c r="D54" i="25"/>
  <c r="G53" i="25"/>
  <c r="H53" i="25"/>
  <c r="E54" i="25"/>
  <c r="D45" i="43"/>
  <c r="E45" i="43"/>
  <c r="D50" i="28"/>
  <c r="E50" i="28" s="1"/>
  <c r="G49" i="28"/>
  <c r="H49" i="28"/>
  <c r="H54" i="3"/>
  <c r="D55" i="3"/>
  <c r="E55" i="3" s="1"/>
  <c r="G54" i="3"/>
  <c r="D47" i="39"/>
  <c r="E47" i="39"/>
  <c r="H49" i="29"/>
  <c r="D50" i="29"/>
  <c r="G49" i="29"/>
  <c r="E50" i="29"/>
  <c r="D46" i="41"/>
  <c r="E46" i="41"/>
  <c r="B46" i="46"/>
  <c r="G52" i="23"/>
  <c r="D53" i="23"/>
  <c r="H52" i="23"/>
  <c r="E53" i="23"/>
  <c r="H44" i="43"/>
  <c r="D47" i="38"/>
  <c r="E47" i="38"/>
  <c r="D46" i="42"/>
  <c r="E46" i="42"/>
  <c r="D57" i="11"/>
  <c r="G56" i="11"/>
  <c r="H56" i="11"/>
  <c r="E57" i="11"/>
  <c r="H46" i="39"/>
  <c r="G54" i="4"/>
  <c r="D55" i="4"/>
  <c r="E55" i="4" s="1"/>
  <c r="H54" i="4"/>
  <c r="G45" i="41"/>
  <c r="E46" i="46"/>
  <c r="F46" i="46" s="1"/>
  <c r="D55" i="5"/>
  <c r="E55" i="5" s="1"/>
  <c r="G54" i="5"/>
  <c r="H54" i="5"/>
  <c r="G44" i="43"/>
  <c r="H53" i="22"/>
  <c r="G53" i="22"/>
  <c r="D54" i="22"/>
  <c r="E54" i="22"/>
  <c r="H45" i="42"/>
  <c r="I45" i="42" s="1"/>
  <c r="G51" i="24"/>
  <c r="D52" i="24"/>
  <c r="E52" i="24" s="1"/>
  <c r="H51" i="24"/>
  <c r="G55" i="6"/>
  <c r="H55" i="6"/>
  <c r="D56" i="6"/>
  <c r="E56" i="6" s="1"/>
  <c r="G46" i="39"/>
  <c r="G57" i="7"/>
  <c r="D58" i="7"/>
  <c r="E58" i="7" s="1"/>
  <c r="H57" i="7"/>
  <c r="D46" i="40"/>
  <c r="E46" i="40"/>
  <c r="H45" i="41"/>
  <c r="I56" i="9"/>
  <c r="G58" i="10"/>
  <c r="H58" i="10"/>
  <c r="D59" i="10"/>
  <c r="E59" i="10" s="1"/>
  <c r="G46" i="38"/>
  <c r="I46" i="38" s="1"/>
  <c r="D48" i="37"/>
  <c r="E48" i="37" s="1"/>
  <c r="B47" i="13"/>
  <c r="F47" i="13"/>
  <c r="G47" i="13" s="1"/>
  <c r="H45" i="40"/>
  <c r="I45" i="40" s="1"/>
  <c r="H55" i="8"/>
  <c r="G55" i="8"/>
  <c r="D56" i="8"/>
  <c r="E56" i="8"/>
  <c r="F57" i="9"/>
  <c r="B57" i="9"/>
  <c r="H49" i="31"/>
  <c r="G49" i="31"/>
  <c r="D50" i="31"/>
  <c r="E50" i="31" s="1"/>
  <c r="J127" i="13"/>
  <c r="G128" i="13"/>
  <c r="D129" i="13"/>
  <c r="E129" i="13" s="1"/>
  <c r="H128" i="46"/>
  <c r="I128" i="46"/>
  <c r="F129" i="46"/>
  <c r="B129" i="46"/>
  <c r="I53" i="25" l="1"/>
  <c r="I48" i="30"/>
  <c r="E47" i="44"/>
  <c r="F47" i="44" s="1"/>
  <c r="B47" i="44"/>
  <c r="I46" i="44"/>
  <c r="I55" i="8"/>
  <c r="B51" i="27"/>
  <c r="E51" i="27"/>
  <c r="F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B50" i="31"/>
  <c r="H47" i="13"/>
  <c r="I47" i="13" s="1"/>
  <c r="I58" i="10"/>
  <c r="F46" i="41"/>
  <c r="G46" i="41" s="1"/>
  <c r="B46" i="41"/>
  <c r="F45" i="43"/>
  <c r="G45" i="43" s="1"/>
  <c r="B45" i="43"/>
  <c r="F54" i="25"/>
  <c r="B54" i="25"/>
  <c r="F49" i="30"/>
  <c r="B49" i="30"/>
  <c r="B56" i="8"/>
  <c r="F56" i="8"/>
  <c r="I46" i="39"/>
  <c r="B57" i="11"/>
  <c r="F57" i="11"/>
  <c r="B47" i="38"/>
  <c r="F47" i="38"/>
  <c r="B53" i="23"/>
  <c r="F53" i="23"/>
  <c r="B55" i="3"/>
  <c r="F55" i="3"/>
  <c r="F47" i="45"/>
  <c r="H47" i="45" s="1"/>
  <c r="B47" i="45"/>
  <c r="F59" i="10"/>
  <c r="B59" i="10"/>
  <c r="B58" i="7"/>
  <c r="F58" i="7"/>
  <c r="F56" i="6"/>
  <c r="B56" i="6"/>
  <c r="I51" i="24"/>
  <c r="F55" i="5"/>
  <c r="B55" i="5"/>
  <c r="I54" i="4"/>
  <c r="I44" i="43"/>
  <c r="F47" i="39"/>
  <c r="H47" i="39" s="1"/>
  <c r="B47" i="39"/>
  <c r="I54" i="3"/>
  <c r="F50" i="28"/>
  <c r="B50" i="28"/>
  <c r="G57" i="9"/>
  <c r="H57" i="9"/>
  <c r="D58" i="9"/>
  <c r="E58" i="9" s="1"/>
  <c r="D48" i="13"/>
  <c r="E48" i="13" s="1"/>
  <c r="F48" i="37"/>
  <c r="G48" i="37" s="1"/>
  <c r="B48" i="37"/>
  <c r="B46" i="40"/>
  <c r="F46" i="40"/>
  <c r="I55" i="6"/>
  <c r="B52" i="24"/>
  <c r="F52" i="24"/>
  <c r="B54" i="22"/>
  <c r="F54" i="22"/>
  <c r="B55" i="4"/>
  <c r="F55" i="4"/>
  <c r="I56" i="11"/>
  <c r="B46" i="42"/>
  <c r="F46" i="42"/>
  <c r="H46" i="42" s="1"/>
  <c r="F50" i="29"/>
  <c r="B50" i="29"/>
  <c r="I46" i="45"/>
  <c r="J128" i="46"/>
  <c r="D130" i="46"/>
  <c r="E130" i="46" s="1"/>
  <c r="G129" i="46"/>
  <c r="F129" i="13"/>
  <c r="B129" i="13"/>
  <c r="H128" i="13"/>
  <c r="I128" i="13"/>
  <c r="H47" i="44" l="1"/>
  <c r="G47" i="44"/>
  <c r="I47" i="44" s="1"/>
  <c r="D48" i="44"/>
  <c r="D52" i="27"/>
  <c r="G51" i="27"/>
  <c r="E52" i="27"/>
  <c r="H51" i="27"/>
  <c r="H46" i="41"/>
  <c r="I46" i="41" s="1"/>
  <c r="H55" i="4"/>
  <c r="G55" i="4"/>
  <c r="D56" i="4"/>
  <c r="E56" i="4" s="1"/>
  <c r="H52" i="24"/>
  <c r="G52" i="24"/>
  <c r="D53" i="24"/>
  <c r="E53" i="24" s="1"/>
  <c r="D47" i="40"/>
  <c r="E47" i="40"/>
  <c r="D48" i="38"/>
  <c r="E48" i="38" s="1"/>
  <c r="D47" i="42"/>
  <c r="E47" i="42"/>
  <c r="G46" i="40"/>
  <c r="D48" i="45"/>
  <c r="E48" i="45" s="1"/>
  <c r="D54" i="23"/>
  <c r="E54" i="23" s="1"/>
  <c r="G53" i="23"/>
  <c r="H53" i="23"/>
  <c r="H47" i="38"/>
  <c r="D50" i="30"/>
  <c r="E50" i="30" s="1"/>
  <c r="G49" i="30"/>
  <c r="H49" i="30"/>
  <c r="I46" i="46"/>
  <c r="G50" i="29"/>
  <c r="H50" i="29"/>
  <c r="D51" i="29"/>
  <c r="E51" i="29"/>
  <c r="G54" i="22"/>
  <c r="H54" i="22"/>
  <c r="D55" i="22"/>
  <c r="E55" i="22"/>
  <c r="D49" i="37"/>
  <c r="E49" i="37"/>
  <c r="F58" i="9"/>
  <c r="B58" i="9"/>
  <c r="G50" i="28"/>
  <c r="D51" i="28"/>
  <c r="H50" i="28"/>
  <c r="E51" i="28"/>
  <c r="D48" i="39"/>
  <c r="E48" i="39"/>
  <c r="H56" i="6"/>
  <c r="G56" i="6"/>
  <c r="D57" i="6"/>
  <c r="E57" i="6"/>
  <c r="D60" i="10"/>
  <c r="E60" i="10" s="1"/>
  <c r="G59" i="10"/>
  <c r="H59" i="10"/>
  <c r="G47" i="45"/>
  <c r="I47" i="45" s="1"/>
  <c r="D57" i="8"/>
  <c r="E57" i="8" s="1"/>
  <c r="G56" i="8"/>
  <c r="H56" i="8"/>
  <c r="D46" i="43"/>
  <c r="E46" i="43" s="1"/>
  <c r="G46" i="42"/>
  <c r="I46" i="42" s="1"/>
  <c r="H46" i="40"/>
  <c r="H48" i="37"/>
  <c r="I48" i="37" s="1"/>
  <c r="F48" i="13"/>
  <c r="G48" i="13" s="1"/>
  <c r="B48" i="13"/>
  <c r="I57" i="9"/>
  <c r="G47" i="39"/>
  <c r="I47" i="39" s="1"/>
  <c r="D56" i="5"/>
  <c r="E56" i="5" s="1"/>
  <c r="G55" i="5"/>
  <c r="H55" i="5"/>
  <c r="D59" i="7"/>
  <c r="E59" i="7" s="1"/>
  <c r="G58" i="7"/>
  <c r="H58" i="7"/>
  <c r="G55" i="3"/>
  <c r="H55" i="3"/>
  <c r="D56" i="3"/>
  <c r="E56" i="3" s="1"/>
  <c r="G47" i="38"/>
  <c r="D58" i="11"/>
  <c r="E58" i="11" s="1"/>
  <c r="G57" i="11"/>
  <c r="H57" i="11"/>
  <c r="H54" i="25"/>
  <c r="D55" i="25"/>
  <c r="G54" i="25"/>
  <c r="E55" i="25"/>
  <c r="H45" i="43"/>
  <c r="I45" i="43" s="1"/>
  <c r="D47" i="41"/>
  <c r="E47" i="41" s="1"/>
  <c r="D51" i="31"/>
  <c r="E51" i="31" s="1"/>
  <c r="G50" i="31"/>
  <c r="H50" i="31"/>
  <c r="F47" i="46"/>
  <c r="H47" i="46" s="1"/>
  <c r="B47" i="46"/>
  <c r="H129" i="46"/>
  <c r="I129" i="46"/>
  <c r="F130" i="46"/>
  <c r="B130" i="46"/>
  <c r="J128" i="13"/>
  <c r="G129" i="13"/>
  <c r="D130" i="13"/>
  <c r="E130" i="13" s="1"/>
  <c r="E48" i="44" l="1"/>
  <c r="F48" i="44" s="1"/>
  <c r="B48" i="44"/>
  <c r="I49" i="30"/>
  <c r="I51" i="27"/>
  <c r="H48" i="13"/>
  <c r="I48" i="13" s="1"/>
  <c r="I54" i="22"/>
  <c r="I50" i="29"/>
  <c r="I59" i="10"/>
  <c r="I50" i="31"/>
  <c r="I58" i="7"/>
  <c r="I46" i="40"/>
  <c r="B52" i="27"/>
  <c r="F52" i="27"/>
  <c r="G47" i="46"/>
  <c r="I47" i="46" s="1"/>
  <c r="I57" i="11"/>
  <c r="I56" i="8"/>
  <c r="F51" i="28"/>
  <c r="B51" i="28"/>
  <c r="F47" i="42"/>
  <c r="G47" i="42" s="1"/>
  <c r="B47" i="42"/>
  <c r="B53" i="24"/>
  <c r="F53" i="24"/>
  <c r="B56" i="4"/>
  <c r="F56" i="4"/>
  <c r="B47" i="41"/>
  <c r="F47" i="41"/>
  <c r="H47" i="41" s="1"/>
  <c r="B55" i="25"/>
  <c r="F55" i="25"/>
  <c r="F56" i="3"/>
  <c r="B56" i="3"/>
  <c r="D49" i="13"/>
  <c r="E49" i="13" s="1"/>
  <c r="F57" i="6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B58" i="11"/>
  <c r="I55" i="3"/>
  <c r="F46" i="43"/>
  <c r="G46" i="43" s="1"/>
  <c r="B46" i="43"/>
  <c r="B57" i="8"/>
  <c r="F57" i="8"/>
  <c r="B50" i="30"/>
  <c r="F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B59" i="7"/>
  <c r="F59" i="7"/>
  <c r="B56" i="5"/>
  <c r="F56" i="5"/>
  <c r="B60" i="10"/>
  <c r="F60" i="10"/>
  <c r="I56" i="6"/>
  <c r="I50" i="28"/>
  <c r="G58" i="9"/>
  <c r="E59" i="9"/>
  <c r="H58" i="9"/>
  <c r="D59" i="9"/>
  <c r="B55" i="22"/>
  <c r="F55" i="22"/>
  <c r="B51" i="29"/>
  <c r="F51" i="29"/>
  <c r="I47" i="38"/>
  <c r="F54" i="23"/>
  <c r="B54" i="23"/>
  <c r="J129" i="46"/>
  <c r="D131" i="46"/>
  <c r="G130" i="46"/>
  <c r="B130" i="13"/>
  <c r="F130" i="13"/>
  <c r="H129" i="13"/>
  <c r="I129" i="13"/>
  <c r="G48" i="44" l="1"/>
  <c r="D49" i="44"/>
  <c r="H48" i="44"/>
  <c r="I58" i="9"/>
  <c r="H47" i="40"/>
  <c r="I47" i="40" s="1"/>
  <c r="G48" i="39"/>
  <c r="I48" i="39" s="1"/>
  <c r="G47" i="41"/>
  <c r="I47" i="41" s="1"/>
  <c r="D53" i="27"/>
  <c r="H52" i="27"/>
  <c r="E53" i="27"/>
  <c r="G52" i="27"/>
  <c r="D47" i="43"/>
  <c r="E47" i="43"/>
  <c r="D50" i="37"/>
  <c r="E50" i="37"/>
  <c r="H55" i="25"/>
  <c r="G55" i="25"/>
  <c r="D56" i="25"/>
  <c r="E56" i="25"/>
  <c r="H53" i="24"/>
  <c r="D54" i="24"/>
  <c r="G53" i="24"/>
  <c r="E54" i="24"/>
  <c r="H54" i="23"/>
  <c r="D55" i="23"/>
  <c r="G54" i="23"/>
  <c r="E55" i="23"/>
  <c r="H60" i="10"/>
  <c r="G60" i="10"/>
  <c r="D61" i="10"/>
  <c r="E61" i="10"/>
  <c r="H59" i="7"/>
  <c r="D60" i="7"/>
  <c r="G59" i="7"/>
  <c r="E60" i="7"/>
  <c r="G50" i="30"/>
  <c r="H50" i="30"/>
  <c r="D51" i="30"/>
  <c r="E51" i="30"/>
  <c r="B49" i="13"/>
  <c r="F49" i="13"/>
  <c r="G49" i="13" s="1"/>
  <c r="D48" i="42"/>
  <c r="E48" i="42"/>
  <c r="G55" i="22"/>
  <c r="H55" i="22"/>
  <c r="D56" i="22"/>
  <c r="E56" i="22"/>
  <c r="F48" i="46"/>
  <c r="B48" i="46"/>
  <c r="D49" i="38"/>
  <c r="E49" i="38" s="1"/>
  <c r="D49" i="45"/>
  <c r="D49" i="39"/>
  <c r="E49" i="39"/>
  <c r="G56" i="4"/>
  <c r="H56" i="4"/>
  <c r="D57" i="4"/>
  <c r="E57" i="4"/>
  <c r="H51" i="29"/>
  <c r="D52" i="29"/>
  <c r="G51" i="29"/>
  <c r="E52" i="29"/>
  <c r="F59" i="9"/>
  <c r="B59" i="9"/>
  <c r="H56" i="5"/>
  <c r="D57" i="5"/>
  <c r="G56" i="5"/>
  <c r="E57" i="5"/>
  <c r="H51" i="31"/>
  <c r="D52" i="31"/>
  <c r="G51" i="31"/>
  <c r="E52" i="31"/>
  <c r="D48" i="40"/>
  <c r="E48" i="40" s="1"/>
  <c r="G48" i="38"/>
  <c r="I48" i="38" s="1"/>
  <c r="G57" i="8"/>
  <c r="D58" i="8"/>
  <c r="E58" i="8" s="1"/>
  <c r="H57" i="8"/>
  <c r="H46" i="43"/>
  <c r="I46" i="43" s="1"/>
  <c r="G58" i="11"/>
  <c r="H58" i="11"/>
  <c r="D59" i="11"/>
  <c r="E59" i="11"/>
  <c r="H48" i="45"/>
  <c r="I48" i="45" s="1"/>
  <c r="G49" i="37"/>
  <c r="I49" i="37" s="1"/>
  <c r="H57" i="6"/>
  <c r="D58" i="6"/>
  <c r="E58" i="6" s="1"/>
  <c r="G57" i="6"/>
  <c r="H56" i="3"/>
  <c r="G56" i="3"/>
  <c r="D57" i="3"/>
  <c r="E57" i="3" s="1"/>
  <c r="D48" i="41"/>
  <c r="E48" i="41"/>
  <c r="H47" i="42"/>
  <c r="I47" i="42" s="1"/>
  <c r="H51" i="28"/>
  <c r="D52" i="28"/>
  <c r="G51" i="28"/>
  <c r="E52" i="28"/>
  <c r="J129" i="13"/>
  <c r="G130" i="13"/>
  <c r="D131" i="13"/>
  <c r="H130" i="46"/>
  <c r="I130" i="46"/>
  <c r="B131" i="46"/>
  <c r="E131" i="46"/>
  <c r="F131" i="46" s="1"/>
  <c r="I48" i="44" l="1"/>
  <c r="E49" i="44"/>
  <c r="F49" i="44"/>
  <c r="B49" i="44"/>
  <c r="I56" i="4"/>
  <c r="I52" i="27"/>
  <c r="I59" i="7"/>
  <c r="F53" i="27"/>
  <c r="B53" i="27"/>
  <c r="I55" i="22"/>
  <c r="I50" i="30"/>
  <c r="F57" i="3"/>
  <c r="B57" i="3"/>
  <c r="F58" i="8"/>
  <c r="B58" i="8"/>
  <c r="F48" i="40"/>
  <c r="G48" i="40" s="1"/>
  <c r="B48" i="40"/>
  <c r="I51" i="31"/>
  <c r="B51" i="30"/>
  <c r="F51" i="30"/>
  <c r="F47" i="43"/>
  <c r="B47" i="43"/>
  <c r="B58" i="6"/>
  <c r="F58" i="6"/>
  <c r="B57" i="4"/>
  <c r="F57" i="4"/>
  <c r="F49" i="39"/>
  <c r="B49" i="39"/>
  <c r="B49" i="38"/>
  <c r="F49" i="38"/>
  <c r="H49" i="38" s="1"/>
  <c r="D49" i="46"/>
  <c r="B56" i="22"/>
  <c r="F56" i="22"/>
  <c r="F48" i="42"/>
  <c r="B48" i="42"/>
  <c r="F60" i="7"/>
  <c r="B60" i="7"/>
  <c r="B61" i="10"/>
  <c r="F61" i="10"/>
  <c r="B56" i="25"/>
  <c r="F56" i="25"/>
  <c r="F52" i="28"/>
  <c r="B52" i="28"/>
  <c r="B48" i="41"/>
  <c r="F48" i="41"/>
  <c r="H48" i="41" s="1"/>
  <c r="I56" i="3"/>
  <c r="I57" i="6"/>
  <c r="B59" i="11"/>
  <c r="F59" i="11"/>
  <c r="F52" i="29"/>
  <c r="B52" i="29"/>
  <c r="B49" i="45"/>
  <c r="G48" i="46"/>
  <c r="D50" i="13"/>
  <c r="B55" i="23"/>
  <c r="F55" i="23"/>
  <c r="F54" i="24"/>
  <c r="B54" i="24"/>
  <c r="F50" i="37"/>
  <c r="H50" i="37" s="1"/>
  <c r="B50" i="37"/>
  <c r="I51" i="28"/>
  <c r="I58" i="11"/>
  <c r="I57" i="8"/>
  <c r="F52" i="31"/>
  <c r="B52" i="31"/>
  <c r="F57" i="5"/>
  <c r="B57" i="5"/>
  <c r="D60" i="9"/>
  <c r="E60" i="9" s="1"/>
  <c r="G59" i="9"/>
  <c r="H59" i="9"/>
  <c r="I51" i="29"/>
  <c r="E49" i="45"/>
  <c r="F49" i="45" s="1"/>
  <c r="H48" i="46"/>
  <c r="H49" i="13"/>
  <c r="I49" i="13" s="1"/>
  <c r="I60" i="10"/>
  <c r="I54" i="23"/>
  <c r="I53" i="24"/>
  <c r="I55" i="25"/>
  <c r="D132" i="46"/>
  <c r="G131" i="46"/>
  <c r="J130" i="46"/>
  <c r="J155" i="46" s="1"/>
  <c r="H130" i="13"/>
  <c r="I130" i="13"/>
  <c r="B131" i="13"/>
  <c r="E131" i="13"/>
  <c r="F131" i="13" s="1"/>
  <c r="H49" i="44" l="1"/>
  <c r="D50" i="44"/>
  <c r="G49" i="44"/>
  <c r="G49" i="38"/>
  <c r="I49" i="38" s="1"/>
  <c r="H48" i="40"/>
  <c r="G50" i="37"/>
  <c r="I50" i="37" s="1"/>
  <c r="I59" i="9"/>
  <c r="I48" i="46"/>
  <c r="G53" i="27"/>
  <c r="H53" i="27"/>
  <c r="I53" i="27" s="1"/>
  <c r="D54" i="27"/>
  <c r="D50" i="45"/>
  <c r="E50" i="45" s="1"/>
  <c r="H49" i="45"/>
  <c r="G49" i="45"/>
  <c r="F60" i="9"/>
  <c r="B60" i="9"/>
  <c r="D53" i="31"/>
  <c r="E53" i="31" s="1"/>
  <c r="G52" i="31"/>
  <c r="H52" i="31"/>
  <c r="B50" i="13"/>
  <c r="H52" i="29"/>
  <c r="G52" i="29"/>
  <c r="D53" i="29"/>
  <c r="E53" i="29"/>
  <c r="H60" i="7"/>
  <c r="D61" i="7"/>
  <c r="G60" i="7"/>
  <c r="E61" i="7"/>
  <c r="D49" i="42"/>
  <c r="E49" i="42" s="1"/>
  <c r="B49" i="46"/>
  <c r="D50" i="39"/>
  <c r="E50" i="39"/>
  <c r="D48" i="43"/>
  <c r="E48" i="43"/>
  <c r="G54" i="24"/>
  <c r="D55" i="24"/>
  <c r="H54" i="24"/>
  <c r="E55" i="24"/>
  <c r="E50" i="13"/>
  <c r="F50" i="13" s="1"/>
  <c r="H59" i="11"/>
  <c r="D60" i="11"/>
  <c r="E60" i="11" s="1"/>
  <c r="G59" i="11"/>
  <c r="H61" i="10"/>
  <c r="D62" i="10"/>
  <c r="E62" i="10"/>
  <c r="G61" i="10"/>
  <c r="H56" i="22"/>
  <c r="D57" i="22"/>
  <c r="E57" i="22" s="1"/>
  <c r="G56" i="22"/>
  <c r="H49" i="39"/>
  <c r="G57" i="4"/>
  <c r="H57" i="4"/>
  <c r="D58" i="4"/>
  <c r="E58" i="4"/>
  <c r="H47" i="43"/>
  <c r="G51" i="30"/>
  <c r="D52" i="30"/>
  <c r="H51" i="30"/>
  <c r="E52" i="30"/>
  <c r="D59" i="8"/>
  <c r="E59" i="8" s="1"/>
  <c r="G58" i="8"/>
  <c r="H58" i="8"/>
  <c r="H57" i="5"/>
  <c r="D58" i="5"/>
  <c r="E58" i="5" s="1"/>
  <c r="G57" i="5"/>
  <c r="G55" i="23"/>
  <c r="H55" i="23"/>
  <c r="D56" i="23"/>
  <c r="E56" i="23"/>
  <c r="D49" i="41"/>
  <c r="E49" i="41"/>
  <c r="D53" i="28"/>
  <c r="G52" i="28"/>
  <c r="H52" i="28"/>
  <c r="E53" i="28"/>
  <c r="G48" i="42"/>
  <c r="G49" i="39"/>
  <c r="I48" i="40"/>
  <c r="D51" i="37"/>
  <c r="E51" i="37" s="1"/>
  <c r="G48" i="41"/>
  <c r="I48" i="41" s="1"/>
  <c r="D57" i="25"/>
  <c r="E57" i="25" s="1"/>
  <c r="G56" i="25"/>
  <c r="H56" i="25"/>
  <c r="H48" i="42"/>
  <c r="E49" i="46"/>
  <c r="F49" i="46" s="1"/>
  <c r="D50" i="38"/>
  <c r="E50" i="38"/>
  <c r="D59" i="6"/>
  <c r="E59" i="6" s="1"/>
  <c r="H58" i="6"/>
  <c r="G58" i="6"/>
  <c r="G47" i="43"/>
  <c r="D49" i="40"/>
  <c r="E49" i="40"/>
  <c r="G57" i="3"/>
  <c r="H57" i="3"/>
  <c r="D58" i="3"/>
  <c r="E58" i="3" s="1"/>
  <c r="J130" i="13"/>
  <c r="J155" i="13" s="1"/>
  <c r="G131" i="13"/>
  <c r="D132" i="13"/>
  <c r="B132" i="46"/>
  <c r="H131" i="46"/>
  <c r="I131" i="46"/>
  <c r="E132" i="46"/>
  <c r="F132" i="46" s="1"/>
  <c r="I49" i="44" l="1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D50" i="46"/>
  <c r="E50" i="46" s="1"/>
  <c r="G49" i="46"/>
  <c r="H49" i="46"/>
  <c r="D51" i="13"/>
  <c r="E51" i="13" s="1"/>
  <c r="H50" i="13"/>
  <c r="G50" i="13"/>
  <c r="B59" i="6"/>
  <c r="F59" i="6"/>
  <c r="B57" i="25"/>
  <c r="F57" i="25"/>
  <c r="F53" i="28"/>
  <c r="B53" i="28"/>
  <c r="F56" i="23"/>
  <c r="B56" i="23"/>
  <c r="B52" i="30"/>
  <c r="F52" i="30"/>
  <c r="F58" i="4"/>
  <c r="B58" i="4"/>
  <c r="B55" i="24"/>
  <c r="F55" i="24"/>
  <c r="B61" i="7"/>
  <c r="F61" i="7"/>
  <c r="B59" i="8"/>
  <c r="F59" i="8"/>
  <c r="F48" i="43"/>
  <c r="H48" i="43" s="1"/>
  <c r="B48" i="43"/>
  <c r="F49" i="42"/>
  <c r="B49" i="42"/>
  <c r="B53" i="31"/>
  <c r="F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F58" i="5"/>
  <c r="I47" i="43"/>
  <c r="F57" i="22"/>
  <c r="B57" i="22"/>
  <c r="B62" i="10"/>
  <c r="F62" i="10"/>
  <c r="F58" i="3"/>
  <c r="B58" i="3"/>
  <c r="B49" i="40"/>
  <c r="F49" i="40"/>
  <c r="G49" i="40" s="1"/>
  <c r="I58" i="6"/>
  <c r="I49" i="39"/>
  <c r="F60" i="11"/>
  <c r="B60" i="11"/>
  <c r="I54" i="24"/>
  <c r="F50" i="39"/>
  <c r="H50" i="39" s="1"/>
  <c r="B50" i="39"/>
  <c r="F53" i="29"/>
  <c r="B53" i="29"/>
  <c r="I52" i="31"/>
  <c r="D61" i="9"/>
  <c r="E61" i="9" s="1"/>
  <c r="G60" i="9"/>
  <c r="H60" i="9"/>
  <c r="B50" i="45"/>
  <c r="F50" i="45"/>
  <c r="H50" i="45" s="1"/>
  <c r="G132" i="46"/>
  <c r="D133" i="46"/>
  <c r="B132" i="13"/>
  <c r="I131" i="13"/>
  <c r="H131" i="13"/>
  <c r="E132" i="13"/>
  <c r="F132" i="13" s="1"/>
  <c r="H50" i="44" l="1"/>
  <c r="D51" i="44"/>
  <c r="G50" i="44"/>
  <c r="I49" i="46"/>
  <c r="G51" i="37"/>
  <c r="G50" i="45"/>
  <c r="I50" i="45" s="1"/>
  <c r="D55" i="27"/>
  <c r="G54" i="27"/>
  <c r="H54" i="27"/>
  <c r="H49" i="40"/>
  <c r="I49" i="40" s="1"/>
  <c r="H49" i="41"/>
  <c r="I49" i="41" s="1"/>
  <c r="I51" i="37"/>
  <c r="G53" i="29"/>
  <c r="H53" i="29"/>
  <c r="D54" i="29"/>
  <c r="E54" i="29"/>
  <c r="D51" i="39"/>
  <c r="E51" i="39"/>
  <c r="G62" i="10"/>
  <c r="D63" i="10"/>
  <c r="E63" i="10" s="1"/>
  <c r="H62" i="10"/>
  <c r="G53" i="31"/>
  <c r="H53" i="31"/>
  <c r="D54" i="31"/>
  <c r="E54" i="31" s="1"/>
  <c r="D50" i="42"/>
  <c r="E50" i="42"/>
  <c r="G61" i="7"/>
  <c r="H61" i="7"/>
  <c r="D62" i="7"/>
  <c r="E62" i="7" s="1"/>
  <c r="G57" i="25"/>
  <c r="H57" i="25"/>
  <c r="D58" i="25"/>
  <c r="E58" i="25" s="1"/>
  <c r="B61" i="9"/>
  <c r="F61" i="9"/>
  <c r="H58" i="5"/>
  <c r="D59" i="5"/>
  <c r="E59" i="5" s="1"/>
  <c r="G58" i="5"/>
  <c r="D51" i="38"/>
  <c r="E51" i="38" s="1"/>
  <c r="G49" i="42"/>
  <c r="D49" i="43"/>
  <c r="E49" i="43"/>
  <c r="D59" i="4"/>
  <c r="G58" i="4"/>
  <c r="H58" i="4"/>
  <c r="E59" i="4"/>
  <c r="G56" i="23"/>
  <c r="D57" i="23"/>
  <c r="H56" i="23"/>
  <c r="E57" i="23"/>
  <c r="I50" i="13"/>
  <c r="I60" i="9"/>
  <c r="D50" i="40"/>
  <c r="E50" i="40" s="1"/>
  <c r="D50" i="41"/>
  <c r="E50" i="41" s="1"/>
  <c r="H50" i="38"/>
  <c r="I50" i="38" s="1"/>
  <c r="H49" i="42"/>
  <c r="D60" i="8"/>
  <c r="G59" i="8"/>
  <c r="H59" i="8"/>
  <c r="E60" i="8"/>
  <c r="G55" i="24"/>
  <c r="H55" i="24"/>
  <c r="D56" i="24"/>
  <c r="E56" i="24" s="1"/>
  <c r="D53" i="30"/>
  <c r="H52" i="30"/>
  <c r="G52" i="30"/>
  <c r="E53" i="30"/>
  <c r="G59" i="6"/>
  <c r="H59" i="6"/>
  <c r="D60" i="6"/>
  <c r="E60" i="6" s="1"/>
  <c r="D51" i="45"/>
  <c r="E51" i="45" s="1"/>
  <c r="G50" i="39"/>
  <c r="I50" i="39" s="1"/>
  <c r="H60" i="11"/>
  <c r="D61" i="11"/>
  <c r="G60" i="11"/>
  <c r="E61" i="11"/>
  <c r="H58" i="3"/>
  <c r="D59" i="3"/>
  <c r="G58" i="3"/>
  <c r="E59" i="3"/>
  <c r="H57" i="22"/>
  <c r="D58" i="22"/>
  <c r="E58" i="22" s="1"/>
  <c r="G57" i="22"/>
  <c r="D52" i="37"/>
  <c r="E52" i="37" s="1"/>
  <c r="G48" i="43"/>
  <c r="I48" i="43" s="1"/>
  <c r="H53" i="28"/>
  <c r="D54" i="28"/>
  <c r="E54" i="28" s="1"/>
  <c r="G53" i="28"/>
  <c r="B51" i="13"/>
  <c r="F51" i="13"/>
  <c r="G51" i="13" s="1"/>
  <c r="F50" i="46"/>
  <c r="B50" i="46"/>
  <c r="D133" i="13"/>
  <c r="E133" i="13" s="1"/>
  <c r="G132" i="13"/>
  <c r="B133" i="46"/>
  <c r="E133" i="46"/>
  <c r="F133" i="46" s="1"/>
  <c r="H132" i="46"/>
  <c r="I132" i="46"/>
  <c r="I59" i="6" l="1"/>
  <c r="I53" i="29"/>
  <c r="E51" i="44"/>
  <c r="F51" i="44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B60" i="8"/>
  <c r="F60" i="8"/>
  <c r="F50" i="41"/>
  <c r="H50" i="41" s="1"/>
  <c r="B50" i="41"/>
  <c r="B59" i="4"/>
  <c r="F59" i="4"/>
  <c r="F49" i="43"/>
  <c r="H49" i="43" s="1"/>
  <c r="B49" i="43"/>
  <c r="F58" i="25"/>
  <c r="B58" i="25"/>
  <c r="F62" i="7"/>
  <c r="B62" i="7"/>
  <c r="B50" i="42"/>
  <c r="F50" i="42"/>
  <c r="H50" i="42" s="1"/>
  <c r="B54" i="29"/>
  <c r="F54" i="29"/>
  <c r="D51" i="46"/>
  <c r="E51" i="46" s="1"/>
  <c r="D52" i="13"/>
  <c r="F54" i="28"/>
  <c r="B54" i="28"/>
  <c r="F52" i="37"/>
  <c r="G52" i="37" s="1"/>
  <c r="B52" i="37"/>
  <c r="B58" i="22"/>
  <c r="F58" i="22"/>
  <c r="F60" i="6"/>
  <c r="B60" i="6"/>
  <c r="B56" i="24"/>
  <c r="F56" i="24"/>
  <c r="H61" i="9"/>
  <c r="D62" i="9"/>
  <c r="E62" i="9" s="1"/>
  <c r="G61" i="9"/>
  <c r="H50" i="46"/>
  <c r="I53" i="28"/>
  <c r="I57" i="22"/>
  <c r="F50" i="40"/>
  <c r="H50" i="40" s="1"/>
  <c r="B50" i="40"/>
  <c r="I56" i="23"/>
  <c r="F59" i="5"/>
  <c r="B59" i="5"/>
  <c r="B54" i="31"/>
  <c r="F54" i="31"/>
  <c r="I62" i="10"/>
  <c r="B51" i="39"/>
  <c r="F51" i="39"/>
  <c r="G50" i="46"/>
  <c r="H51" i="13"/>
  <c r="I51" i="13" s="1"/>
  <c r="F59" i="3"/>
  <c r="B59" i="3"/>
  <c r="F61" i="11"/>
  <c r="B61" i="11"/>
  <c r="F51" i="45"/>
  <c r="G51" i="45" s="1"/>
  <c r="B51" i="45"/>
  <c r="F53" i="30"/>
  <c r="B53" i="30"/>
  <c r="F57" i="23"/>
  <c r="B57" i="23"/>
  <c r="F51" i="38"/>
  <c r="G51" i="38" s="1"/>
  <c r="B51" i="38"/>
  <c r="I53" i="31"/>
  <c r="F63" i="10"/>
  <c r="B63" i="10"/>
  <c r="D134" i="46"/>
  <c r="E134" i="46" s="1"/>
  <c r="G133" i="46"/>
  <c r="B133" i="13"/>
  <c r="F133" i="13"/>
  <c r="I132" i="13"/>
  <c r="H132" i="13"/>
  <c r="H51" i="44" l="1"/>
  <c r="G51" i="44"/>
  <c r="D52" i="44"/>
  <c r="H51" i="45"/>
  <c r="I51" i="45" s="1"/>
  <c r="H52" i="37"/>
  <c r="I52" i="37" s="1"/>
  <c r="G50" i="40"/>
  <c r="I50" i="40" s="1"/>
  <c r="H55" i="27"/>
  <c r="D56" i="27"/>
  <c r="E56" i="27" s="1"/>
  <c r="G55" i="27"/>
  <c r="I61" i="9"/>
  <c r="H57" i="23"/>
  <c r="D58" i="23"/>
  <c r="G57" i="23"/>
  <c r="E58" i="23"/>
  <c r="G61" i="11"/>
  <c r="D62" i="11"/>
  <c r="E62" i="11" s="1"/>
  <c r="H61" i="11"/>
  <c r="G59" i="4"/>
  <c r="D60" i="4"/>
  <c r="E60" i="4" s="1"/>
  <c r="H59" i="4"/>
  <c r="H63" i="10"/>
  <c r="G63" i="10"/>
  <c r="D64" i="10"/>
  <c r="E64" i="10" s="1"/>
  <c r="D52" i="39"/>
  <c r="E52" i="39" s="1"/>
  <c r="G59" i="5"/>
  <c r="D60" i="5"/>
  <c r="E60" i="5" s="1"/>
  <c r="H59" i="5"/>
  <c r="I50" i="46"/>
  <c r="H60" i="6"/>
  <c r="D61" i="6"/>
  <c r="G60" i="6"/>
  <c r="E61" i="6"/>
  <c r="G54" i="28"/>
  <c r="D55" i="28"/>
  <c r="E55" i="28" s="1"/>
  <c r="H54" i="28"/>
  <c r="F51" i="46"/>
  <c r="B51" i="46"/>
  <c r="D51" i="42"/>
  <c r="E51" i="42"/>
  <c r="H62" i="7"/>
  <c r="D63" i="7"/>
  <c r="E63" i="7" s="1"/>
  <c r="G62" i="7"/>
  <c r="D51" i="41"/>
  <c r="E51" i="41"/>
  <c r="D52" i="38"/>
  <c r="E52" i="38"/>
  <c r="H51" i="38"/>
  <c r="I51" i="38" s="1"/>
  <c r="H53" i="30"/>
  <c r="G53" i="30"/>
  <c r="D54" i="30"/>
  <c r="E54" i="30"/>
  <c r="D52" i="45"/>
  <c r="E52" i="45" s="1"/>
  <c r="G59" i="3"/>
  <c r="D60" i="3"/>
  <c r="H59" i="3"/>
  <c r="E60" i="3"/>
  <c r="G51" i="39"/>
  <c r="G54" i="31"/>
  <c r="D55" i="31"/>
  <c r="E55" i="31" s="1"/>
  <c r="H54" i="31"/>
  <c r="D51" i="40"/>
  <c r="E51" i="40"/>
  <c r="G56" i="24"/>
  <c r="D57" i="24"/>
  <c r="H56" i="24"/>
  <c r="E57" i="24"/>
  <c r="G58" i="22"/>
  <c r="H58" i="22"/>
  <c r="D59" i="22"/>
  <c r="E59" i="22"/>
  <c r="B52" i="13"/>
  <c r="D55" i="29"/>
  <c r="E55" i="29" s="1"/>
  <c r="G54" i="29"/>
  <c r="H54" i="29"/>
  <c r="D50" i="43"/>
  <c r="E50" i="43" s="1"/>
  <c r="D61" i="8"/>
  <c r="G60" i="8"/>
  <c r="H60" i="8"/>
  <c r="E61" i="8"/>
  <c r="H51" i="39"/>
  <c r="B62" i="9"/>
  <c r="F62" i="9"/>
  <c r="D53" i="37"/>
  <c r="E53" i="37" s="1"/>
  <c r="E52" i="13"/>
  <c r="F52" i="13" s="1"/>
  <c r="G50" i="42"/>
  <c r="I50" i="42" s="1"/>
  <c r="H58" i="25"/>
  <c r="D59" i="25"/>
  <c r="E59" i="25" s="1"/>
  <c r="G58" i="25"/>
  <c r="G49" i="43"/>
  <c r="I49" i="43" s="1"/>
  <c r="G50" i="41"/>
  <c r="I50" i="41" s="1"/>
  <c r="G133" i="13"/>
  <c r="D134" i="13"/>
  <c r="H133" i="46"/>
  <c r="I133" i="46"/>
  <c r="F134" i="46"/>
  <c r="B134" i="46"/>
  <c r="E52" i="44" l="1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F56" i="27"/>
  <c r="D53" i="13"/>
  <c r="E53" i="13" s="1"/>
  <c r="H52" i="13"/>
  <c r="G52" i="13"/>
  <c r="I58" i="25"/>
  <c r="B54" i="30"/>
  <c r="F54" i="30"/>
  <c r="D52" i="46"/>
  <c r="F55" i="28"/>
  <c r="B55" i="28"/>
  <c r="F61" i="6"/>
  <c r="B61" i="6"/>
  <c r="B60" i="4"/>
  <c r="F60" i="4"/>
  <c r="H62" i="9"/>
  <c r="D63" i="9"/>
  <c r="E63" i="9"/>
  <c r="G62" i="9"/>
  <c r="F61" i="8"/>
  <c r="B61" i="8"/>
  <c r="I54" i="29"/>
  <c r="F52" i="38"/>
  <c r="H52" i="38" s="1"/>
  <c r="B52" i="38"/>
  <c r="F51" i="42"/>
  <c r="G51" i="42" s="1"/>
  <c r="B51" i="42"/>
  <c r="G51" i="46"/>
  <c r="F64" i="10"/>
  <c r="B64" i="10"/>
  <c r="B59" i="22"/>
  <c r="F59" i="22"/>
  <c r="F51" i="40"/>
  <c r="G51" i="40" s="1"/>
  <c r="B51" i="40"/>
  <c r="F55" i="31"/>
  <c r="B55" i="31"/>
  <c r="F52" i="45"/>
  <c r="G52" i="45" s="1"/>
  <c r="B52" i="45"/>
  <c r="F63" i="7"/>
  <c r="B63" i="7"/>
  <c r="B52" i="39"/>
  <c r="F52" i="39"/>
  <c r="H52" i="39" s="1"/>
  <c r="F62" i="11"/>
  <c r="B62" i="11"/>
  <c r="F58" i="23"/>
  <c r="B58" i="23"/>
  <c r="B59" i="25"/>
  <c r="F59" i="25"/>
  <c r="B53" i="37"/>
  <c r="F53" i="37"/>
  <c r="H53" i="37" s="1"/>
  <c r="F50" i="43"/>
  <c r="G50" i="43" s="1"/>
  <c r="B50" i="43"/>
  <c r="B55" i="29"/>
  <c r="F55" i="29"/>
  <c r="I58" i="22"/>
  <c r="B57" i="24"/>
  <c r="F57" i="24"/>
  <c r="F60" i="3"/>
  <c r="B60" i="3"/>
  <c r="F51" i="41"/>
  <c r="G51" i="41" s="1"/>
  <c r="B51" i="41"/>
  <c r="I62" i="7"/>
  <c r="H51" i="46"/>
  <c r="I54" i="28"/>
  <c r="F60" i="5"/>
  <c r="B60" i="5"/>
  <c r="I59" i="4"/>
  <c r="I57" i="23"/>
  <c r="D135" i="46"/>
  <c r="G134" i="46"/>
  <c r="B134" i="13"/>
  <c r="E134" i="13"/>
  <c r="F134" i="13" s="1"/>
  <c r="H133" i="13"/>
  <c r="I133" i="13"/>
  <c r="D53" i="44" l="1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H56" i="27"/>
  <c r="G56" i="27"/>
  <c r="I52" i="13"/>
  <c r="H60" i="3"/>
  <c r="D61" i="3"/>
  <c r="E61" i="3" s="1"/>
  <c r="G60" i="3"/>
  <c r="D63" i="11"/>
  <c r="E63" i="11" s="1"/>
  <c r="G62" i="11"/>
  <c r="H62" i="11"/>
  <c r="D56" i="31"/>
  <c r="E56" i="31" s="1"/>
  <c r="G55" i="31"/>
  <c r="H55" i="31"/>
  <c r="D52" i="40"/>
  <c r="E52" i="40" s="1"/>
  <c r="D65" i="10"/>
  <c r="G64" i="10"/>
  <c r="H64" i="10"/>
  <c r="G52" i="38"/>
  <c r="I52" i="38" s="1"/>
  <c r="G61" i="8"/>
  <c r="D62" i="8"/>
  <c r="E62" i="8" s="1"/>
  <c r="H61" i="8"/>
  <c r="I62" i="9"/>
  <c r="G61" i="6"/>
  <c r="D62" i="6"/>
  <c r="E62" i="6" s="1"/>
  <c r="H61" i="6"/>
  <c r="B52" i="46"/>
  <c r="D52" i="41"/>
  <c r="E52" i="41" s="1"/>
  <c r="H55" i="29"/>
  <c r="D56" i="29"/>
  <c r="E56" i="29" s="1"/>
  <c r="G55" i="29"/>
  <c r="D60" i="22"/>
  <c r="H59" i="22"/>
  <c r="G59" i="22"/>
  <c r="E60" i="22"/>
  <c r="D52" i="42"/>
  <c r="E52" i="42"/>
  <c r="D61" i="4"/>
  <c r="E61" i="4" s="1"/>
  <c r="G60" i="4"/>
  <c r="H60" i="4"/>
  <c r="G54" i="30"/>
  <c r="D55" i="30"/>
  <c r="E55" i="30" s="1"/>
  <c r="H54" i="30"/>
  <c r="G60" i="5"/>
  <c r="D61" i="5"/>
  <c r="E61" i="5" s="1"/>
  <c r="H60" i="5"/>
  <c r="H51" i="41"/>
  <c r="I51" i="41" s="1"/>
  <c r="G57" i="24"/>
  <c r="D58" i="24"/>
  <c r="E58" i="24" s="1"/>
  <c r="H57" i="24"/>
  <c r="D51" i="43"/>
  <c r="E51" i="43"/>
  <c r="D59" i="23"/>
  <c r="G58" i="23"/>
  <c r="H58" i="23"/>
  <c r="E59" i="23"/>
  <c r="D53" i="39"/>
  <c r="E53" i="39" s="1"/>
  <c r="H63" i="7"/>
  <c r="G63" i="7"/>
  <c r="D64" i="7"/>
  <c r="E64" i="7" s="1"/>
  <c r="D53" i="45"/>
  <c r="E53" i="45" s="1"/>
  <c r="H55" i="28"/>
  <c r="G55" i="28"/>
  <c r="D56" i="28"/>
  <c r="E56" i="28" s="1"/>
  <c r="D54" i="37"/>
  <c r="E54" i="37"/>
  <c r="G59" i="25"/>
  <c r="H59" i="25"/>
  <c r="D60" i="25"/>
  <c r="E60" i="25"/>
  <c r="H51" i="42"/>
  <c r="I51" i="42" s="1"/>
  <c r="D53" i="38"/>
  <c r="E53" i="38" s="1"/>
  <c r="B63" i="9"/>
  <c r="F63" i="9"/>
  <c r="E52" i="46"/>
  <c r="F52" i="46" s="1"/>
  <c r="B53" i="13"/>
  <c r="F53" i="13"/>
  <c r="H53" i="13" s="1"/>
  <c r="D135" i="13"/>
  <c r="G134" i="13"/>
  <c r="H134" i="46"/>
  <c r="I134" i="46"/>
  <c r="B135" i="46"/>
  <c r="E135" i="46"/>
  <c r="F135" i="46" s="1"/>
  <c r="I52" i="44" l="1"/>
  <c r="B53" i="44"/>
  <c r="E53" i="44"/>
  <c r="F53" i="44" s="1"/>
  <c r="I61" i="8"/>
  <c r="I56" i="27"/>
  <c r="I54" i="30"/>
  <c r="I57" i="24"/>
  <c r="I61" i="6"/>
  <c r="B57" i="27"/>
  <c r="E57" i="27"/>
  <c r="F57" i="27" s="1"/>
  <c r="I55" i="28"/>
  <c r="I60" i="4"/>
  <c r="I55" i="31"/>
  <c r="D53" i="46"/>
  <c r="E53" i="46" s="1"/>
  <c r="H52" i="46"/>
  <c r="G52" i="46"/>
  <c r="F60" i="25"/>
  <c r="B60" i="25"/>
  <c r="B54" i="37"/>
  <c r="F54" i="37"/>
  <c r="G54" i="37" s="1"/>
  <c r="F52" i="42"/>
  <c r="H52" i="42" s="1"/>
  <c r="B52" i="42"/>
  <c r="F60" i="22"/>
  <c r="B60" i="22"/>
  <c r="I55" i="29"/>
  <c r="B65" i="10"/>
  <c r="I62" i="11"/>
  <c r="D54" i="13"/>
  <c r="E54" i="13" s="1"/>
  <c r="B53" i="38"/>
  <c r="F53" i="38"/>
  <c r="G53" i="38" s="1"/>
  <c r="I59" i="25"/>
  <c r="F64" i="7"/>
  <c r="B64" i="7"/>
  <c r="B53" i="39"/>
  <c r="F53" i="39"/>
  <c r="G53" i="39" s="1"/>
  <c r="B59" i="23"/>
  <c r="F59" i="23"/>
  <c r="B62" i="6"/>
  <c r="F62" i="6"/>
  <c r="I64" i="10"/>
  <c r="B61" i="3"/>
  <c r="F61" i="3"/>
  <c r="D64" i="9"/>
  <c r="E64" i="9" s="1"/>
  <c r="G63" i="9"/>
  <c r="H63" i="9"/>
  <c r="B56" i="28"/>
  <c r="F56" i="28"/>
  <c r="B58" i="24"/>
  <c r="F58" i="24"/>
  <c r="F61" i="4"/>
  <c r="B61" i="4"/>
  <c r="F52" i="41"/>
  <c r="H52" i="41" s="1"/>
  <c r="B52" i="41"/>
  <c r="B62" i="8"/>
  <c r="F62" i="8"/>
  <c r="B52" i="40"/>
  <c r="F52" i="40"/>
  <c r="G52" i="40" s="1"/>
  <c r="F56" i="31"/>
  <c r="B56" i="31"/>
  <c r="B63" i="11"/>
  <c r="F63" i="11"/>
  <c r="I60" i="3"/>
  <c r="G53" i="13"/>
  <c r="I53" i="13" s="1"/>
  <c r="B53" i="45"/>
  <c r="F53" i="45"/>
  <c r="G53" i="45" s="1"/>
  <c r="I63" i="7"/>
  <c r="I58" i="23"/>
  <c r="B51" i="43"/>
  <c r="F51" i="43"/>
  <c r="H51" i="43" s="1"/>
  <c r="B61" i="5"/>
  <c r="F61" i="5"/>
  <c r="B55" i="30"/>
  <c r="F55" i="30"/>
  <c r="I59" i="22"/>
  <c r="B56" i="29"/>
  <c r="F56" i="29"/>
  <c r="E65" i="10"/>
  <c r="F65" i="10" s="1"/>
  <c r="D136" i="46"/>
  <c r="E136" i="46" s="1"/>
  <c r="G135" i="46"/>
  <c r="B135" i="13"/>
  <c r="I134" i="13"/>
  <c r="H134" i="13"/>
  <c r="E135" i="13"/>
  <c r="F135" i="13" s="1"/>
  <c r="G52" i="41" l="1"/>
  <c r="D54" i="44"/>
  <c r="H53" i="44"/>
  <c r="G53" i="44"/>
  <c r="I52" i="46"/>
  <c r="G51" i="43"/>
  <c r="I51" i="43" s="1"/>
  <c r="I63" i="9"/>
  <c r="D58" i="27"/>
  <c r="G57" i="27"/>
  <c r="E58" i="27"/>
  <c r="H57" i="27"/>
  <c r="H53" i="45"/>
  <c r="I53" i="45" s="1"/>
  <c r="I52" i="41"/>
  <c r="H53" i="39"/>
  <c r="I53" i="39" s="1"/>
  <c r="G52" i="42"/>
  <c r="I52" i="42" s="1"/>
  <c r="H54" i="37"/>
  <c r="I54" i="37" s="1"/>
  <c r="D66" i="10"/>
  <c r="E66" i="10" s="1"/>
  <c r="G65" i="10"/>
  <c r="H65" i="10"/>
  <c r="G56" i="29"/>
  <c r="H56" i="29"/>
  <c r="D57" i="29"/>
  <c r="E57" i="29" s="1"/>
  <c r="D53" i="40"/>
  <c r="E53" i="40" s="1"/>
  <c r="G59" i="23"/>
  <c r="H59" i="23"/>
  <c r="D60" i="23"/>
  <c r="E60" i="23" s="1"/>
  <c r="D61" i="22"/>
  <c r="E61" i="22" s="1"/>
  <c r="G60" i="22"/>
  <c r="H60" i="22"/>
  <c r="D62" i="5"/>
  <c r="E62" i="5" s="1"/>
  <c r="G61" i="5"/>
  <c r="H61" i="5"/>
  <c r="H56" i="28"/>
  <c r="D57" i="28"/>
  <c r="E57" i="28" s="1"/>
  <c r="G56" i="28"/>
  <c r="D54" i="38"/>
  <c r="E54" i="38"/>
  <c r="H56" i="31"/>
  <c r="D57" i="31"/>
  <c r="E57" i="31" s="1"/>
  <c r="G56" i="31"/>
  <c r="H61" i="4"/>
  <c r="D62" i="4"/>
  <c r="E62" i="4" s="1"/>
  <c r="G61" i="4"/>
  <c r="F64" i="9"/>
  <c r="B64" i="9"/>
  <c r="G62" i="6"/>
  <c r="D63" i="6"/>
  <c r="E63" i="6" s="1"/>
  <c r="H62" i="6"/>
  <c r="D54" i="39"/>
  <c r="E54" i="39"/>
  <c r="F54" i="13"/>
  <c r="H54" i="13" s="1"/>
  <c r="B54" i="13"/>
  <c r="H60" i="25"/>
  <c r="D61" i="25"/>
  <c r="E61" i="25" s="1"/>
  <c r="G60" i="25"/>
  <c r="D56" i="30"/>
  <c r="E56" i="30" s="1"/>
  <c r="H55" i="30"/>
  <c r="G55" i="30"/>
  <c r="D52" i="43"/>
  <c r="E52" i="43" s="1"/>
  <c r="D54" i="45"/>
  <c r="E54" i="45" s="1"/>
  <c r="G63" i="11"/>
  <c r="H63" i="11"/>
  <c r="D64" i="11"/>
  <c r="E64" i="11" s="1"/>
  <c r="H52" i="40"/>
  <c r="I52" i="40" s="1"/>
  <c r="H62" i="8"/>
  <c r="D63" i="8"/>
  <c r="E63" i="8" s="1"/>
  <c r="G62" i="8"/>
  <c r="D53" i="41"/>
  <c r="E53" i="41"/>
  <c r="G58" i="24"/>
  <c r="D59" i="24"/>
  <c r="H58" i="24"/>
  <c r="E59" i="24"/>
  <c r="H61" i="3"/>
  <c r="D62" i="3"/>
  <c r="G61" i="3"/>
  <c r="E62" i="3"/>
  <c r="H64" i="7"/>
  <c r="D65" i="7"/>
  <c r="G64" i="7"/>
  <c r="H53" i="38"/>
  <c r="I53" i="38" s="1"/>
  <c r="D53" i="42"/>
  <c r="E53" i="42"/>
  <c r="D55" i="37"/>
  <c r="E55" i="37"/>
  <c r="F53" i="46"/>
  <c r="B53" i="46"/>
  <c r="G135" i="13"/>
  <c r="D136" i="13"/>
  <c r="I135" i="46"/>
  <c r="H135" i="46"/>
  <c r="F136" i="46"/>
  <c r="B136" i="46"/>
  <c r="I60" i="22" l="1"/>
  <c r="I53" i="44"/>
  <c r="E54" i="44"/>
  <c r="F54" i="44" s="1"/>
  <c r="B54" i="44"/>
  <c r="I58" i="24"/>
  <c r="I62" i="6"/>
  <c r="I62" i="8"/>
  <c r="I56" i="31"/>
  <c r="I56" i="28"/>
  <c r="I61" i="4"/>
  <c r="I60" i="25"/>
  <c r="F58" i="27"/>
  <c r="B58" i="27"/>
  <c r="I63" i="11"/>
  <c r="I55" i="30"/>
  <c r="I65" i="10"/>
  <c r="I57" i="27"/>
  <c r="D54" i="46"/>
  <c r="B65" i="7"/>
  <c r="F62" i="3"/>
  <c r="B62" i="3"/>
  <c r="F59" i="24"/>
  <c r="B59" i="24"/>
  <c r="F52" i="43"/>
  <c r="H52" i="43" s="1"/>
  <c r="B52" i="43"/>
  <c r="B56" i="30"/>
  <c r="F56" i="30"/>
  <c r="D55" i="13"/>
  <c r="E55" i="13" s="1"/>
  <c r="G64" i="9"/>
  <c r="H64" i="9"/>
  <c r="D65" i="9"/>
  <c r="F54" i="38"/>
  <c r="G54" i="38" s="1"/>
  <c r="B54" i="38"/>
  <c r="B57" i="28"/>
  <c r="F57" i="28"/>
  <c r="I59" i="23"/>
  <c r="F53" i="42"/>
  <c r="B53" i="42"/>
  <c r="G53" i="46"/>
  <c r="I64" i="7"/>
  <c r="I61" i="3"/>
  <c r="F63" i="6"/>
  <c r="B63" i="6"/>
  <c r="F62" i="5"/>
  <c r="B62" i="5"/>
  <c r="F61" i="22"/>
  <c r="B61" i="22"/>
  <c r="F57" i="29"/>
  <c r="B57" i="29"/>
  <c r="H53" i="46"/>
  <c r="B55" i="37"/>
  <c r="F55" i="37"/>
  <c r="H55" i="37" s="1"/>
  <c r="E65" i="7"/>
  <c r="F65" i="7" s="1"/>
  <c r="F63" i="8"/>
  <c r="B63" i="8"/>
  <c r="B64" i="11"/>
  <c r="F64" i="11"/>
  <c r="F54" i="45"/>
  <c r="G54" i="45" s="1"/>
  <c r="B54" i="45"/>
  <c r="G54" i="13"/>
  <c r="I54" i="13" s="1"/>
  <c r="B54" i="39"/>
  <c r="F54" i="39"/>
  <c r="G54" i="39" s="1"/>
  <c r="I56" i="29"/>
  <c r="F53" i="41"/>
  <c r="B53" i="41"/>
  <c r="F61" i="25"/>
  <c r="B61" i="25"/>
  <c r="B62" i="4"/>
  <c r="F62" i="4"/>
  <c r="F57" i="31"/>
  <c r="B57" i="31"/>
  <c r="B60" i="23"/>
  <c r="F60" i="23"/>
  <c r="B53" i="40"/>
  <c r="F53" i="40"/>
  <c r="G53" i="40" s="1"/>
  <c r="B66" i="10"/>
  <c r="F66" i="10"/>
  <c r="B136" i="13"/>
  <c r="E136" i="13"/>
  <c r="F136" i="13" s="1"/>
  <c r="D137" i="46"/>
  <c r="E137" i="46" s="1"/>
  <c r="G136" i="46"/>
  <c r="H135" i="13"/>
  <c r="I135" i="13"/>
  <c r="G54" i="44" l="1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E59" i="27" s="1"/>
  <c r="G58" i="27"/>
  <c r="H58" i="27"/>
  <c r="D66" i="7"/>
  <c r="E66" i="7" s="1"/>
  <c r="G65" i="7"/>
  <c r="H65" i="7"/>
  <c r="G57" i="31"/>
  <c r="D58" i="31"/>
  <c r="E58" i="31" s="1"/>
  <c r="H57" i="31"/>
  <c r="D62" i="25"/>
  <c r="G61" i="25"/>
  <c r="H61" i="25"/>
  <c r="E62" i="25"/>
  <c r="D54" i="41"/>
  <c r="E54" i="41"/>
  <c r="H61" i="22"/>
  <c r="D62" i="22"/>
  <c r="G61" i="22"/>
  <c r="E62" i="22"/>
  <c r="H63" i="6"/>
  <c r="G63" i="6"/>
  <c r="D64" i="6"/>
  <c r="E64" i="6" s="1"/>
  <c r="D54" i="42"/>
  <c r="E54" i="42" s="1"/>
  <c r="B65" i="9"/>
  <c r="G60" i="23"/>
  <c r="H60" i="23"/>
  <c r="D61" i="23"/>
  <c r="E61" i="23"/>
  <c r="G62" i="4"/>
  <c r="H62" i="4"/>
  <c r="D63" i="4"/>
  <c r="E63" i="4" s="1"/>
  <c r="E65" i="9"/>
  <c r="F65" i="9" s="1"/>
  <c r="B55" i="13"/>
  <c r="F55" i="13"/>
  <c r="G55" i="13" s="1"/>
  <c r="H59" i="24"/>
  <c r="G59" i="24"/>
  <c r="D60" i="24"/>
  <c r="E60" i="24" s="1"/>
  <c r="D54" i="40"/>
  <c r="E54" i="40" s="1"/>
  <c r="G53" i="41"/>
  <c r="D55" i="45"/>
  <c r="E55" i="45" s="1"/>
  <c r="G63" i="8"/>
  <c r="H63" i="8"/>
  <c r="D64" i="8"/>
  <c r="E64" i="8" s="1"/>
  <c r="E56" i="37"/>
  <c r="D56" i="37"/>
  <c r="H57" i="29"/>
  <c r="D58" i="29"/>
  <c r="E58" i="29" s="1"/>
  <c r="G57" i="29"/>
  <c r="D63" i="5"/>
  <c r="E63" i="5" s="1"/>
  <c r="H62" i="5"/>
  <c r="G62" i="5"/>
  <c r="G53" i="42"/>
  <c r="G57" i="28"/>
  <c r="H57" i="28"/>
  <c r="D58" i="28"/>
  <c r="E58" i="28" s="1"/>
  <c r="G56" i="30"/>
  <c r="H56" i="30"/>
  <c r="D57" i="30"/>
  <c r="E57" i="30" s="1"/>
  <c r="B54" i="46"/>
  <c r="H66" i="10"/>
  <c r="D67" i="10"/>
  <c r="E67" i="10" s="1"/>
  <c r="G66" i="10"/>
  <c r="H53" i="40"/>
  <c r="I53" i="40" s="1"/>
  <c r="H53" i="41"/>
  <c r="D55" i="39"/>
  <c r="E55" i="39" s="1"/>
  <c r="H54" i="45"/>
  <c r="I54" i="45" s="1"/>
  <c r="G64" i="11"/>
  <c r="H64" i="11"/>
  <c r="D65" i="11"/>
  <c r="E65" i="11" s="1"/>
  <c r="H53" i="42"/>
  <c r="D55" i="38"/>
  <c r="E55" i="38"/>
  <c r="D53" i="43"/>
  <c r="E53" i="43"/>
  <c r="D63" i="3"/>
  <c r="E63" i="3" s="1"/>
  <c r="H62" i="3"/>
  <c r="G62" i="3"/>
  <c r="E54" i="46"/>
  <c r="F54" i="46" s="1"/>
  <c r="G136" i="13"/>
  <c r="D137" i="13"/>
  <c r="H136" i="46"/>
  <c r="I136" i="46"/>
  <c r="B137" i="46"/>
  <c r="F137" i="46"/>
  <c r="I53" i="41" l="1"/>
  <c r="I54" i="44"/>
  <c r="E55" i="44"/>
  <c r="B55" i="44"/>
  <c r="F55" i="44"/>
  <c r="I62" i="4"/>
  <c r="I60" i="23"/>
  <c r="I53" i="42"/>
  <c r="I57" i="31"/>
  <c r="I65" i="7"/>
  <c r="I57" i="29"/>
  <c r="B59" i="27"/>
  <c r="F59" i="27"/>
  <c r="I56" i="30"/>
  <c r="I57" i="28"/>
  <c r="H55" i="13"/>
  <c r="I63" i="6"/>
  <c r="I61" i="25"/>
  <c r="I58" i="27"/>
  <c r="G65" i="9"/>
  <c r="H65" i="9"/>
  <c r="D66" i="9"/>
  <c r="D55" i="46"/>
  <c r="G54" i="46"/>
  <c r="H54" i="46"/>
  <c r="I64" i="11"/>
  <c r="F55" i="39"/>
  <c r="B55" i="39"/>
  <c r="I66" i="10"/>
  <c r="F58" i="29"/>
  <c r="B58" i="29"/>
  <c r="F54" i="40"/>
  <c r="H54" i="40" s="1"/>
  <c r="B54" i="40"/>
  <c r="I59" i="24"/>
  <c r="F62" i="22"/>
  <c r="B62" i="22"/>
  <c r="B53" i="43"/>
  <c r="F53" i="43"/>
  <c r="H53" i="43" s="1"/>
  <c r="B63" i="5"/>
  <c r="F63" i="5"/>
  <c r="B64" i="8"/>
  <c r="F64" i="8"/>
  <c r="F55" i="45"/>
  <c r="B55" i="45"/>
  <c r="I55" i="13"/>
  <c r="F54" i="42"/>
  <c r="G54" i="42" s="1"/>
  <c r="B54" i="42"/>
  <c r="I61" i="22"/>
  <c r="I62" i="3"/>
  <c r="F57" i="30"/>
  <c r="B57" i="30"/>
  <c r="B58" i="28"/>
  <c r="F58" i="28"/>
  <c r="B56" i="37"/>
  <c r="F56" i="37"/>
  <c r="G56" i="37" s="1"/>
  <c r="I63" i="8"/>
  <c r="B60" i="24"/>
  <c r="F60" i="24"/>
  <c r="D56" i="13"/>
  <c r="E56" i="13" s="1"/>
  <c r="F63" i="4"/>
  <c r="B63" i="4"/>
  <c r="F61" i="23"/>
  <c r="B61" i="23"/>
  <c r="B58" i="31"/>
  <c r="F58" i="31"/>
  <c r="B63" i="3"/>
  <c r="F63" i="3"/>
  <c r="B55" i="38"/>
  <c r="F55" i="38"/>
  <c r="G55" i="38" s="1"/>
  <c r="B65" i="11"/>
  <c r="F65" i="11"/>
  <c r="F67" i="10"/>
  <c r="B67" i="10"/>
  <c r="B64" i="6"/>
  <c r="F64" i="6"/>
  <c r="B54" i="41"/>
  <c r="F54" i="41"/>
  <c r="H54" i="41" s="1"/>
  <c r="B62" i="25"/>
  <c r="F62" i="25"/>
  <c r="F66" i="7"/>
  <c r="B66" i="7"/>
  <c r="B137" i="13"/>
  <c r="H136" i="13"/>
  <c r="I136" i="13"/>
  <c r="G137" i="46"/>
  <c r="D138" i="46"/>
  <c r="E137" i="13"/>
  <c r="F137" i="13" s="1"/>
  <c r="H55" i="44" l="1"/>
  <c r="D56" i="44"/>
  <c r="G55" i="44"/>
  <c r="I55" i="44" s="1"/>
  <c r="I54" i="46"/>
  <c r="I65" i="9"/>
  <c r="G54" i="41"/>
  <c r="I54" i="41" s="1"/>
  <c r="H56" i="37"/>
  <c r="I56" i="37" s="1"/>
  <c r="H55" i="38"/>
  <c r="I55" i="38" s="1"/>
  <c r="G59" i="27"/>
  <c r="H59" i="27"/>
  <c r="D60" i="27"/>
  <c r="E60" i="27" s="1"/>
  <c r="H63" i="4"/>
  <c r="D64" i="4"/>
  <c r="G63" i="4"/>
  <c r="D56" i="45"/>
  <c r="E56" i="45" s="1"/>
  <c r="D56" i="39"/>
  <c r="E56" i="39" s="1"/>
  <c r="B66" i="9"/>
  <c r="D67" i="7"/>
  <c r="G66" i="7"/>
  <c r="H66" i="7"/>
  <c r="H62" i="25"/>
  <c r="D63" i="25"/>
  <c r="E63" i="25" s="1"/>
  <c r="G62" i="25"/>
  <c r="D56" i="38"/>
  <c r="E56" i="38" s="1"/>
  <c r="H63" i="3"/>
  <c r="G63" i="3"/>
  <c r="D64" i="3"/>
  <c r="E64" i="3" s="1"/>
  <c r="G57" i="30"/>
  <c r="D58" i="30"/>
  <c r="H57" i="30"/>
  <c r="E58" i="30"/>
  <c r="G55" i="45"/>
  <c r="H64" i="8"/>
  <c r="D65" i="8"/>
  <c r="G64" i="8"/>
  <c r="D59" i="29"/>
  <c r="G58" i="29"/>
  <c r="H58" i="29"/>
  <c r="E59" i="29"/>
  <c r="G55" i="39"/>
  <c r="E66" i="9"/>
  <c r="F66" i="9" s="1"/>
  <c r="G67" i="10"/>
  <c r="H67" i="10"/>
  <c r="D68" i="10"/>
  <c r="G61" i="23"/>
  <c r="H61" i="23"/>
  <c r="D62" i="23"/>
  <c r="E62" i="23" s="1"/>
  <c r="B56" i="13"/>
  <c r="F56" i="13"/>
  <c r="H56" i="13" s="1"/>
  <c r="D57" i="37"/>
  <c r="E57" i="37" s="1"/>
  <c r="G58" i="28"/>
  <c r="H58" i="28"/>
  <c r="D59" i="28"/>
  <c r="E59" i="28" s="1"/>
  <c r="D55" i="42"/>
  <c r="E55" i="42" s="1"/>
  <c r="D54" i="43"/>
  <c r="E54" i="43" s="1"/>
  <c r="D63" i="22"/>
  <c r="E63" i="22" s="1"/>
  <c r="G62" i="22"/>
  <c r="H62" i="22"/>
  <c r="D55" i="40"/>
  <c r="E55" i="40" s="1"/>
  <c r="H55" i="39"/>
  <c r="B55" i="46"/>
  <c r="D55" i="41"/>
  <c r="E55" i="41" s="1"/>
  <c r="H64" i="6"/>
  <c r="D65" i="6"/>
  <c r="E65" i="6" s="1"/>
  <c r="G64" i="6"/>
  <c r="D66" i="11"/>
  <c r="E66" i="11" s="1"/>
  <c r="G65" i="11"/>
  <c r="H65" i="11"/>
  <c r="H58" i="31"/>
  <c r="G58" i="31"/>
  <c r="D59" i="31"/>
  <c r="E59" i="31" s="1"/>
  <c r="G60" i="24"/>
  <c r="D61" i="24"/>
  <c r="E61" i="24" s="1"/>
  <c r="H60" i="24"/>
  <c r="H54" i="42"/>
  <c r="I54" i="42" s="1"/>
  <c r="H55" i="45"/>
  <c r="D64" i="5"/>
  <c r="E64" i="5" s="1"/>
  <c r="G63" i="5"/>
  <c r="H63" i="5"/>
  <c r="G53" i="43"/>
  <c r="I53" i="43" s="1"/>
  <c r="G54" i="40"/>
  <c r="I54" i="40" s="1"/>
  <c r="E55" i="46"/>
  <c r="F55" i="46" s="1"/>
  <c r="G137" i="13"/>
  <c r="D138" i="13"/>
  <c r="B138" i="46"/>
  <c r="E138" i="46"/>
  <c r="F138" i="46" s="1"/>
  <c r="H137" i="46"/>
  <c r="I137" i="46"/>
  <c r="E56" i="44" l="1"/>
  <c r="F56" i="44" s="1"/>
  <c r="B56" i="44"/>
  <c r="I61" i="23"/>
  <c r="I55" i="45"/>
  <c r="G56" i="13"/>
  <c r="I60" i="24"/>
  <c r="I67" i="10"/>
  <c r="I59" i="27"/>
  <c r="I58" i="31"/>
  <c r="I63" i="3"/>
  <c r="I62" i="25"/>
  <c r="I58" i="28"/>
  <c r="I57" i="30"/>
  <c r="I64" i="6"/>
  <c r="B60" i="27"/>
  <c r="F60" i="27"/>
  <c r="G66" i="9"/>
  <c r="H66" i="9"/>
  <c r="I66" i="9" s="1"/>
  <c r="D67" i="9"/>
  <c r="E67" i="9" s="1"/>
  <c r="D56" i="46"/>
  <c r="E56" i="46" s="1"/>
  <c r="G55" i="46"/>
  <c r="H55" i="46"/>
  <c r="I55" i="46" s="1"/>
  <c r="F66" i="11"/>
  <c r="B66" i="11"/>
  <c r="F62" i="23"/>
  <c r="B62" i="23"/>
  <c r="B68" i="10"/>
  <c r="F63" i="25"/>
  <c r="B63" i="25"/>
  <c r="B55" i="40"/>
  <c r="F55" i="40"/>
  <c r="H55" i="40" s="1"/>
  <c r="B63" i="22"/>
  <c r="F63" i="22"/>
  <c r="B59" i="28"/>
  <c r="F59" i="28"/>
  <c r="B57" i="37"/>
  <c r="F57" i="37"/>
  <c r="B59" i="29"/>
  <c r="F59" i="29"/>
  <c r="B65" i="8"/>
  <c r="F64" i="3"/>
  <c r="B64" i="3"/>
  <c r="B56" i="38"/>
  <c r="F56" i="38"/>
  <c r="G56" i="38" s="1"/>
  <c r="B67" i="7"/>
  <c r="F56" i="39"/>
  <c r="H56" i="39" s="1"/>
  <c r="B56" i="39"/>
  <c r="B64" i="4"/>
  <c r="B61" i="24"/>
  <c r="F61" i="24"/>
  <c r="F59" i="31"/>
  <c r="B59" i="31"/>
  <c r="I65" i="11"/>
  <c r="B55" i="41"/>
  <c r="F55" i="41"/>
  <c r="H55" i="41" s="1"/>
  <c r="I56" i="13"/>
  <c r="E68" i="10"/>
  <c r="F68" i="10" s="1"/>
  <c r="I64" i="8"/>
  <c r="F58" i="30"/>
  <c r="B58" i="30"/>
  <c r="E67" i="7"/>
  <c r="F67" i="7" s="1"/>
  <c r="I63" i="4"/>
  <c r="B64" i="5"/>
  <c r="F64" i="5"/>
  <c r="F65" i="6"/>
  <c r="B65" i="6"/>
  <c r="I55" i="39"/>
  <c r="I62" i="22"/>
  <c r="F54" i="43"/>
  <c r="H54" i="43" s="1"/>
  <c r="B54" i="43"/>
  <c r="B55" i="42"/>
  <c r="F55" i="42"/>
  <c r="G55" i="42" s="1"/>
  <c r="D57" i="13"/>
  <c r="E57" i="13" s="1"/>
  <c r="I58" i="29"/>
  <c r="E65" i="8"/>
  <c r="F65" i="8" s="1"/>
  <c r="I66" i="7"/>
  <c r="B56" i="45"/>
  <c r="F56" i="45"/>
  <c r="H56" i="45" s="1"/>
  <c r="E64" i="4"/>
  <c r="F64" i="4" s="1"/>
  <c r="G138" i="46"/>
  <c r="D139" i="46"/>
  <c r="E139" i="46" s="1"/>
  <c r="B138" i="13"/>
  <c r="H137" i="13"/>
  <c r="I137" i="13"/>
  <c r="E138" i="13"/>
  <c r="F138" i="13" s="1"/>
  <c r="D57" i="44" l="1"/>
  <c r="G56" i="44"/>
  <c r="H56" i="44"/>
  <c r="I56" i="44" s="1"/>
  <c r="G56" i="39"/>
  <c r="I56" i="39" s="1"/>
  <c r="G56" i="45"/>
  <c r="I56" i="45" s="1"/>
  <c r="G54" i="43"/>
  <c r="I54" i="43" s="1"/>
  <c r="G60" i="27"/>
  <c r="H60" i="27"/>
  <c r="D61" i="27"/>
  <c r="H64" i="4"/>
  <c r="D65" i="4"/>
  <c r="E65" i="4" s="1"/>
  <c r="G64" i="4"/>
  <c r="D68" i="7"/>
  <c r="E68" i="7" s="1"/>
  <c r="G67" i="7"/>
  <c r="H67" i="7"/>
  <c r="H68" i="10"/>
  <c r="D69" i="10"/>
  <c r="E69" i="10" s="1"/>
  <c r="G68" i="10"/>
  <c r="H65" i="8"/>
  <c r="D66" i="8"/>
  <c r="E66" i="8" s="1"/>
  <c r="G65" i="8"/>
  <c r="G61" i="24"/>
  <c r="D62" i="24"/>
  <c r="H61" i="24"/>
  <c r="E62" i="24"/>
  <c r="D58" i="37"/>
  <c r="E58" i="37" s="1"/>
  <c r="G59" i="28"/>
  <c r="H59" i="28"/>
  <c r="D60" i="28"/>
  <c r="E60" i="28"/>
  <c r="D56" i="42"/>
  <c r="E56" i="42" s="1"/>
  <c r="G58" i="30"/>
  <c r="H58" i="30"/>
  <c r="D59" i="30"/>
  <c r="E59" i="30" s="1"/>
  <c r="D56" i="41"/>
  <c r="E56" i="41"/>
  <c r="H56" i="38"/>
  <c r="I56" i="38" s="1"/>
  <c r="G57" i="37"/>
  <c r="D56" i="40"/>
  <c r="E56" i="40" s="1"/>
  <c r="H63" i="25"/>
  <c r="D64" i="25"/>
  <c r="G63" i="25"/>
  <c r="E64" i="25"/>
  <c r="H62" i="23"/>
  <c r="G62" i="23"/>
  <c r="D63" i="23"/>
  <c r="E63" i="23" s="1"/>
  <c r="F67" i="9"/>
  <c r="B67" i="9"/>
  <c r="D57" i="45"/>
  <c r="E57" i="45" s="1"/>
  <c r="F57" i="13"/>
  <c r="H57" i="13" s="1"/>
  <c r="B57" i="13"/>
  <c r="D55" i="43"/>
  <c r="E55" i="43" s="1"/>
  <c r="D66" i="6"/>
  <c r="E66" i="6" s="1"/>
  <c r="H65" i="6"/>
  <c r="G65" i="6"/>
  <c r="G55" i="41"/>
  <c r="I55" i="41" s="1"/>
  <c r="D57" i="39"/>
  <c r="E57" i="39" s="1"/>
  <c r="H59" i="29"/>
  <c r="D60" i="29"/>
  <c r="G59" i="29"/>
  <c r="E60" i="29"/>
  <c r="H57" i="37"/>
  <c r="I57" i="37" s="1"/>
  <c r="D64" i="22"/>
  <c r="E64" i="22" s="1"/>
  <c r="G63" i="22"/>
  <c r="H63" i="22"/>
  <c r="H55" i="42"/>
  <c r="I55" i="42" s="1"/>
  <c r="D65" i="5"/>
  <c r="E65" i="5" s="1"/>
  <c r="H64" i="5"/>
  <c r="G64" i="5"/>
  <c r="G59" i="31"/>
  <c r="D60" i="31"/>
  <c r="E60" i="31" s="1"/>
  <c r="H59" i="31"/>
  <c r="D57" i="38"/>
  <c r="E57" i="38"/>
  <c r="G64" i="3"/>
  <c r="H64" i="3"/>
  <c r="D65" i="3"/>
  <c r="E65" i="3" s="1"/>
  <c r="G55" i="40"/>
  <c r="I55" i="40" s="1"/>
  <c r="D67" i="11"/>
  <c r="E67" i="11" s="1"/>
  <c r="G66" i="11"/>
  <c r="H66" i="11"/>
  <c r="F56" i="46"/>
  <c r="H56" i="46" s="1"/>
  <c r="B56" i="46"/>
  <c r="G138" i="13"/>
  <c r="D139" i="13"/>
  <c r="E139" i="13" s="1"/>
  <c r="B139" i="46"/>
  <c r="F139" i="46"/>
  <c r="I138" i="46"/>
  <c r="H138" i="46"/>
  <c r="I58" i="30" l="1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B61" i="27"/>
  <c r="I66" i="11"/>
  <c r="I59" i="31"/>
  <c r="I59" i="29"/>
  <c r="F64" i="25"/>
  <c r="B64" i="25"/>
  <c r="I61" i="24"/>
  <c r="D57" i="46"/>
  <c r="E57" i="46" s="1"/>
  <c r="B60" i="31"/>
  <c r="F60" i="31"/>
  <c r="B55" i="43"/>
  <c r="F55" i="43"/>
  <c r="G55" i="43" s="1"/>
  <c r="D58" i="13"/>
  <c r="D68" i="9"/>
  <c r="E68" i="9" s="1"/>
  <c r="H67" i="9"/>
  <c r="G67" i="9"/>
  <c r="F59" i="30"/>
  <c r="B59" i="30"/>
  <c r="B56" i="42"/>
  <c r="F56" i="42"/>
  <c r="B58" i="37"/>
  <c r="F58" i="37"/>
  <c r="F62" i="24"/>
  <c r="B62" i="24"/>
  <c r="B67" i="11"/>
  <c r="F67" i="11"/>
  <c r="B65" i="3"/>
  <c r="F65" i="3"/>
  <c r="F57" i="38"/>
  <c r="G57" i="38" s="1"/>
  <c r="B57" i="38"/>
  <c r="B65" i="5"/>
  <c r="F65" i="5"/>
  <c r="B57" i="39"/>
  <c r="F57" i="39"/>
  <c r="G57" i="39" s="1"/>
  <c r="I65" i="6"/>
  <c r="B60" i="28"/>
  <c r="F60" i="28"/>
  <c r="F66" i="8"/>
  <c r="B66" i="8"/>
  <c r="F69" i="10"/>
  <c r="B69" i="10"/>
  <c r="B65" i="4"/>
  <c r="F65" i="4"/>
  <c r="B64" i="22"/>
  <c r="F64" i="22"/>
  <c r="B60" i="29"/>
  <c r="F60" i="29"/>
  <c r="F66" i="6"/>
  <c r="B66" i="6"/>
  <c r="G57" i="13"/>
  <c r="I57" i="13" s="1"/>
  <c r="B57" i="45"/>
  <c r="F57" i="45"/>
  <c r="F63" i="23"/>
  <c r="B63" i="23"/>
  <c r="F56" i="40"/>
  <c r="H56" i="40" s="1"/>
  <c r="B56" i="40"/>
  <c r="B56" i="41"/>
  <c r="F56" i="41"/>
  <c r="G56" i="41" s="1"/>
  <c r="I59" i="28"/>
  <c r="I65" i="8"/>
  <c r="I68" i="10"/>
  <c r="F68" i="7"/>
  <c r="B68" i="7"/>
  <c r="I64" i="4"/>
  <c r="I138" i="13"/>
  <c r="H138" i="13"/>
  <c r="D140" i="46"/>
  <c r="E140" i="46" s="1"/>
  <c r="G139" i="46"/>
  <c r="B139" i="13"/>
  <c r="F139" i="13"/>
  <c r="H57" i="44" l="1"/>
  <c r="D58" i="44"/>
  <c r="G57" i="44"/>
  <c r="H61" i="27"/>
  <c r="D62" i="27"/>
  <c r="B62" i="27" s="1"/>
  <c r="G61" i="27"/>
  <c r="H56" i="41"/>
  <c r="I56" i="41" s="1"/>
  <c r="G56" i="40"/>
  <c r="I56" i="40" s="1"/>
  <c r="D58" i="45"/>
  <c r="E58" i="45" s="1"/>
  <c r="G66" i="8"/>
  <c r="H66" i="8"/>
  <c r="D67" i="8"/>
  <c r="E67" i="8" s="1"/>
  <c r="D66" i="5"/>
  <c r="H65" i="5"/>
  <c r="G65" i="5"/>
  <c r="D68" i="11"/>
  <c r="G67" i="11"/>
  <c r="H67" i="11"/>
  <c r="E59" i="37"/>
  <c r="D59" i="37"/>
  <c r="D57" i="42"/>
  <c r="E57" i="42" s="1"/>
  <c r="D61" i="31"/>
  <c r="E61" i="31" s="1"/>
  <c r="H60" i="31"/>
  <c r="G60" i="31"/>
  <c r="D57" i="40"/>
  <c r="E57" i="40"/>
  <c r="H57" i="45"/>
  <c r="G64" i="22"/>
  <c r="H64" i="22"/>
  <c r="D65" i="22"/>
  <c r="E65" i="22" s="1"/>
  <c r="D61" i="28"/>
  <c r="E61" i="28" s="1"/>
  <c r="G60" i="28"/>
  <c r="H60" i="28"/>
  <c r="D58" i="39"/>
  <c r="E58" i="39" s="1"/>
  <c r="D58" i="38"/>
  <c r="E58" i="38" s="1"/>
  <c r="H58" i="37"/>
  <c r="H56" i="42"/>
  <c r="D60" i="30"/>
  <c r="E60" i="30" s="1"/>
  <c r="H59" i="30"/>
  <c r="G59" i="30"/>
  <c r="B68" i="9"/>
  <c r="F68" i="9"/>
  <c r="D56" i="43"/>
  <c r="E56" i="43" s="1"/>
  <c r="H68" i="7"/>
  <c r="D69" i="7"/>
  <c r="G68" i="7"/>
  <c r="G57" i="45"/>
  <c r="G66" i="6"/>
  <c r="D67" i="6"/>
  <c r="E67" i="6" s="1"/>
  <c r="H66" i="6"/>
  <c r="D70" i="10"/>
  <c r="G69" i="10"/>
  <c r="H69" i="10"/>
  <c r="H57" i="39"/>
  <c r="I57" i="39" s="1"/>
  <c r="H57" i="38"/>
  <c r="I57" i="38" s="1"/>
  <c r="H65" i="3"/>
  <c r="D66" i="3"/>
  <c r="G65" i="3"/>
  <c r="G58" i="37"/>
  <c r="G56" i="42"/>
  <c r="B58" i="13"/>
  <c r="H55" i="43"/>
  <c r="I55" i="43" s="1"/>
  <c r="D57" i="41"/>
  <c r="E57" i="41" s="1"/>
  <c r="G63" i="23"/>
  <c r="H63" i="23"/>
  <c r="D64" i="23"/>
  <c r="E64" i="23" s="1"/>
  <c r="G60" i="29"/>
  <c r="H60" i="29"/>
  <c r="D61" i="29"/>
  <c r="E61" i="29"/>
  <c r="D66" i="4"/>
  <c r="G65" i="4"/>
  <c r="H65" i="4"/>
  <c r="D63" i="24"/>
  <c r="E63" i="24" s="1"/>
  <c r="G62" i="24"/>
  <c r="H62" i="24"/>
  <c r="I67" i="9"/>
  <c r="E58" i="13"/>
  <c r="F58" i="13" s="1"/>
  <c r="F57" i="46"/>
  <c r="H57" i="46" s="1"/>
  <c r="B57" i="46"/>
  <c r="G64" i="25"/>
  <c r="H64" i="25"/>
  <c r="D65" i="25"/>
  <c r="E65" i="25" s="1"/>
  <c r="F140" i="46"/>
  <c r="B140" i="46"/>
  <c r="G139" i="13"/>
  <c r="D140" i="13"/>
  <c r="E140" i="13" s="1"/>
  <c r="I139" i="46"/>
  <c r="H139" i="46"/>
  <c r="B58" i="44" l="1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D59" i="13"/>
  <c r="E59" i="13" s="1"/>
  <c r="G58" i="13"/>
  <c r="H58" i="13"/>
  <c r="B70" i="10"/>
  <c r="F56" i="43"/>
  <c r="B56" i="43"/>
  <c r="I58" i="37"/>
  <c r="F58" i="39"/>
  <c r="G58" i="39" s="1"/>
  <c r="B58" i="39"/>
  <c r="B61" i="28"/>
  <c r="F61" i="28"/>
  <c r="I60" i="31"/>
  <c r="F59" i="37"/>
  <c r="H59" i="37" s="1"/>
  <c r="B59" i="37"/>
  <c r="D58" i="46"/>
  <c r="B63" i="24"/>
  <c r="F63" i="24"/>
  <c r="B66" i="4"/>
  <c r="B66" i="3"/>
  <c r="B69" i="7"/>
  <c r="G68" i="9"/>
  <c r="H68" i="9"/>
  <c r="D69" i="9"/>
  <c r="I59" i="30"/>
  <c r="I57" i="45"/>
  <c r="B61" i="31"/>
  <c r="F61" i="31"/>
  <c r="B68" i="11"/>
  <c r="B66" i="5"/>
  <c r="F65" i="25"/>
  <c r="B65" i="25"/>
  <c r="I64" i="25"/>
  <c r="G57" i="46"/>
  <c r="I57" i="46" s="1"/>
  <c r="E66" i="4"/>
  <c r="F66" i="4" s="1"/>
  <c r="I65" i="3"/>
  <c r="I66" i="6"/>
  <c r="I68" i="7"/>
  <c r="F60" i="30"/>
  <c r="B60" i="30"/>
  <c r="B58" i="38"/>
  <c r="F58" i="38"/>
  <c r="H58" i="38" s="1"/>
  <c r="I60" i="28"/>
  <c r="B65" i="22"/>
  <c r="F65" i="22"/>
  <c r="E68" i="11"/>
  <c r="F68" i="11" s="1"/>
  <c r="E66" i="5"/>
  <c r="F66" i="5" s="1"/>
  <c r="B61" i="29"/>
  <c r="F61" i="29"/>
  <c r="F64" i="23"/>
  <c r="B64" i="23"/>
  <c r="B57" i="41"/>
  <c r="F57" i="41"/>
  <c r="E66" i="3"/>
  <c r="F66" i="3" s="1"/>
  <c r="E70" i="10"/>
  <c r="F70" i="10" s="1"/>
  <c r="F67" i="6"/>
  <c r="B67" i="6"/>
  <c r="E69" i="7"/>
  <c r="F69" i="7" s="1"/>
  <c r="I56" i="42"/>
  <c r="F57" i="40"/>
  <c r="G57" i="40" s="1"/>
  <c r="B57" i="40"/>
  <c r="B57" i="42"/>
  <c r="F57" i="42"/>
  <c r="G57" i="42" s="1"/>
  <c r="B67" i="8"/>
  <c r="F67" i="8"/>
  <c r="F58" i="45"/>
  <c r="G58" i="45" s="1"/>
  <c r="B58" i="45"/>
  <c r="H58" i="45"/>
  <c r="H139" i="13"/>
  <c r="I139" i="13"/>
  <c r="D141" i="46"/>
  <c r="E141" i="46" s="1"/>
  <c r="G140" i="46"/>
  <c r="F140" i="13"/>
  <c r="B140" i="13"/>
  <c r="H57" i="40" l="1"/>
  <c r="H58" i="44"/>
  <c r="D59" i="44"/>
  <c r="G58" i="44"/>
  <c r="I68" i="9"/>
  <c r="H57" i="42"/>
  <c r="I57" i="42" s="1"/>
  <c r="I57" i="40"/>
  <c r="H58" i="39"/>
  <c r="I58" i="39" s="1"/>
  <c r="G59" i="37"/>
  <c r="I58" i="45"/>
  <c r="G58" i="38"/>
  <c r="I58" i="38" s="1"/>
  <c r="I58" i="13"/>
  <c r="H62" i="27"/>
  <c r="D63" i="27"/>
  <c r="B63" i="27" s="1"/>
  <c r="G62" i="27"/>
  <c r="D67" i="3"/>
  <c r="E67" i="3" s="1"/>
  <c r="H66" i="3"/>
  <c r="G66" i="3"/>
  <c r="G66" i="5"/>
  <c r="D67" i="5"/>
  <c r="E67" i="5" s="1"/>
  <c r="H66" i="5"/>
  <c r="D67" i="4"/>
  <c r="E67" i="4" s="1"/>
  <c r="G66" i="4"/>
  <c r="H66" i="4"/>
  <c r="I66" i="4" s="1"/>
  <c r="G69" i="7"/>
  <c r="H69" i="7"/>
  <c r="D70" i="7"/>
  <c r="E70" i="7" s="1"/>
  <c r="G68" i="11"/>
  <c r="H68" i="11"/>
  <c r="D69" i="11"/>
  <c r="E69" i="11" s="1"/>
  <c r="D71" i="10"/>
  <c r="E71" i="10" s="1"/>
  <c r="G70" i="10"/>
  <c r="H70" i="10"/>
  <c r="D58" i="41"/>
  <c r="E58" i="41" s="1"/>
  <c r="D62" i="31"/>
  <c r="E62" i="31" s="1"/>
  <c r="H61" i="31"/>
  <c r="G61" i="31"/>
  <c r="B69" i="9"/>
  <c r="B58" i="46"/>
  <c r="D57" i="43"/>
  <c r="E57" i="43" s="1"/>
  <c r="D58" i="40"/>
  <c r="E58" i="40"/>
  <c r="H67" i="6"/>
  <c r="D68" i="6"/>
  <c r="G67" i="6"/>
  <c r="H57" i="41"/>
  <c r="D65" i="23"/>
  <c r="E65" i="23" s="1"/>
  <c r="G64" i="23"/>
  <c r="H64" i="23"/>
  <c r="E69" i="9"/>
  <c r="F69" i="9" s="1"/>
  <c r="E58" i="46"/>
  <c r="F58" i="46" s="1"/>
  <c r="I59" i="37"/>
  <c r="G56" i="43"/>
  <c r="G61" i="29"/>
  <c r="H61" i="29"/>
  <c r="D62" i="29"/>
  <c r="E62" i="29"/>
  <c r="D59" i="38"/>
  <c r="E59" i="38"/>
  <c r="D64" i="24"/>
  <c r="E64" i="24" s="1"/>
  <c r="H63" i="24"/>
  <c r="G63" i="24"/>
  <c r="H67" i="8"/>
  <c r="G67" i="8"/>
  <c r="D68" i="8"/>
  <c r="D59" i="45"/>
  <c r="E59" i="45" s="1"/>
  <c r="D58" i="42"/>
  <c r="E58" i="42"/>
  <c r="G57" i="41"/>
  <c r="H65" i="22"/>
  <c r="G65" i="22"/>
  <c r="D66" i="22"/>
  <c r="E66" i="22" s="1"/>
  <c r="D61" i="30"/>
  <c r="E61" i="30" s="1"/>
  <c r="G60" i="30"/>
  <c r="H60" i="30"/>
  <c r="D66" i="25"/>
  <c r="H65" i="25"/>
  <c r="G65" i="25"/>
  <c r="D60" i="37"/>
  <c r="E60" i="37"/>
  <c r="D62" i="28"/>
  <c r="E62" i="28" s="1"/>
  <c r="G61" i="28"/>
  <c r="H61" i="28"/>
  <c r="D59" i="39"/>
  <c r="E59" i="39" s="1"/>
  <c r="H56" i="43"/>
  <c r="B59" i="13"/>
  <c r="F59" i="13"/>
  <c r="G59" i="13" s="1"/>
  <c r="D141" i="13"/>
  <c r="G140" i="13"/>
  <c r="I140" i="46"/>
  <c r="H140" i="46"/>
  <c r="F141" i="46"/>
  <c r="B141" i="46"/>
  <c r="E59" i="44" l="1"/>
  <c r="F59" i="44" s="1"/>
  <c r="B59" i="44"/>
  <c r="I58" i="44"/>
  <c r="I56" i="43"/>
  <c r="H59" i="13"/>
  <c r="I61" i="29"/>
  <c r="I62" i="27"/>
  <c r="I65" i="25"/>
  <c r="E63" i="27"/>
  <c r="F63" i="27" s="1"/>
  <c r="I61" i="28"/>
  <c r="D59" i="46"/>
  <c r="E59" i="46" s="1"/>
  <c r="H58" i="46"/>
  <c r="G58" i="46"/>
  <c r="H69" i="9"/>
  <c r="D70" i="9"/>
  <c r="E70" i="9" s="1"/>
  <c r="G69" i="9"/>
  <c r="B60" i="37"/>
  <c r="F60" i="37"/>
  <c r="G60" i="37" s="1"/>
  <c r="B66" i="25"/>
  <c r="F61" i="30"/>
  <c r="B61" i="30"/>
  <c r="I65" i="22"/>
  <c r="B68" i="8"/>
  <c r="F59" i="38"/>
  <c r="H59" i="38" s="1"/>
  <c r="B59" i="38"/>
  <c r="B65" i="23"/>
  <c r="F65" i="23"/>
  <c r="B68" i="6"/>
  <c r="I61" i="31"/>
  <c r="I70" i="10"/>
  <c r="I59" i="13"/>
  <c r="E66" i="25"/>
  <c r="F66" i="25" s="1"/>
  <c r="F59" i="45"/>
  <c r="H59" i="45" s="1"/>
  <c r="B59" i="45"/>
  <c r="I63" i="24"/>
  <c r="I57" i="41"/>
  <c r="I67" i="6"/>
  <c r="B62" i="31"/>
  <c r="F62" i="31"/>
  <c r="F69" i="11"/>
  <c r="B69" i="11"/>
  <c r="F70" i="7"/>
  <c r="B70" i="7"/>
  <c r="D60" i="13"/>
  <c r="E60" i="13" s="1"/>
  <c r="B59" i="39"/>
  <c r="F59" i="39"/>
  <c r="H59" i="39" s="1"/>
  <c r="B62" i="28"/>
  <c r="F62" i="28"/>
  <c r="I60" i="30"/>
  <c r="F66" i="22"/>
  <c r="B66" i="22"/>
  <c r="I67" i="8"/>
  <c r="B64" i="24"/>
  <c r="F64" i="24"/>
  <c r="B62" i="29"/>
  <c r="F62" i="29"/>
  <c r="I64" i="23"/>
  <c r="E68" i="6"/>
  <c r="F68" i="6" s="1"/>
  <c r="I68" i="11"/>
  <c r="I69" i="7"/>
  <c r="F67" i="5"/>
  <c r="B67" i="5"/>
  <c r="I66" i="3"/>
  <c r="F58" i="42"/>
  <c r="H58" i="42" s="1"/>
  <c r="B58" i="42"/>
  <c r="E68" i="8"/>
  <c r="F68" i="8" s="1"/>
  <c r="F58" i="40"/>
  <c r="H58" i="40" s="1"/>
  <c r="B58" i="40"/>
  <c r="B57" i="43"/>
  <c r="F57" i="43"/>
  <c r="G57" i="43" s="1"/>
  <c r="F58" i="41"/>
  <c r="G58" i="41" s="1"/>
  <c r="B58" i="41"/>
  <c r="B71" i="10"/>
  <c r="F71" i="10"/>
  <c r="F67" i="4"/>
  <c r="B67" i="4"/>
  <c r="B67" i="3"/>
  <c r="F67" i="3"/>
  <c r="B141" i="13"/>
  <c r="H140" i="13"/>
  <c r="I140" i="13"/>
  <c r="G141" i="46"/>
  <c r="D142" i="46"/>
  <c r="E142" i="46" s="1"/>
  <c r="E141" i="13"/>
  <c r="F141" i="13" s="1"/>
  <c r="G59" i="39" l="1"/>
  <c r="G59" i="44"/>
  <c r="H59" i="44"/>
  <c r="I59" i="44" s="1"/>
  <c r="D60" i="44"/>
  <c r="G58" i="42"/>
  <c r="G59" i="38"/>
  <c r="I59" i="38" s="1"/>
  <c r="H57" i="43"/>
  <c r="I57" i="43" s="1"/>
  <c r="I58" i="46"/>
  <c r="I59" i="39"/>
  <c r="H63" i="27"/>
  <c r="D64" i="27"/>
  <c r="E64" i="27" s="1"/>
  <c r="G63" i="27"/>
  <c r="H68" i="6"/>
  <c r="G68" i="6"/>
  <c r="D69" i="6"/>
  <c r="E69" i="6" s="1"/>
  <c r="H66" i="25"/>
  <c r="G66" i="25"/>
  <c r="D67" i="25"/>
  <c r="E67" i="25" s="1"/>
  <c r="D69" i="8"/>
  <c r="E69" i="8" s="1"/>
  <c r="G68" i="8"/>
  <c r="H68" i="8"/>
  <c r="I58" i="42"/>
  <c r="G62" i="29"/>
  <c r="H62" i="29"/>
  <c r="D63" i="29"/>
  <c r="E63" i="29" s="1"/>
  <c r="D63" i="28"/>
  <c r="G62" i="28"/>
  <c r="H62" i="28"/>
  <c r="H62" i="31"/>
  <c r="D63" i="31"/>
  <c r="G62" i="31"/>
  <c r="D60" i="45"/>
  <c r="E60" i="45" s="1"/>
  <c r="D61" i="37"/>
  <c r="E61" i="37" s="1"/>
  <c r="G67" i="4"/>
  <c r="H67" i="4"/>
  <c r="D68" i="4"/>
  <c r="E68" i="4" s="1"/>
  <c r="H58" i="41"/>
  <c r="I58" i="41" s="1"/>
  <c r="D58" i="43"/>
  <c r="E58" i="43" s="1"/>
  <c r="D59" i="40"/>
  <c r="E59" i="40"/>
  <c r="D71" i="7"/>
  <c r="E71" i="7" s="1"/>
  <c r="G70" i="7"/>
  <c r="H70" i="7"/>
  <c r="G61" i="30"/>
  <c r="D62" i="30"/>
  <c r="E62" i="30" s="1"/>
  <c r="H61" i="30"/>
  <c r="G67" i="3"/>
  <c r="D68" i="3"/>
  <c r="E68" i="3" s="1"/>
  <c r="H67" i="3"/>
  <c r="G71" i="10"/>
  <c r="H71" i="10"/>
  <c r="D72" i="10"/>
  <c r="E72" i="10" s="1"/>
  <c r="E73" i="10" s="1"/>
  <c r="G58" i="40"/>
  <c r="I58" i="40" s="1"/>
  <c r="D59" i="42"/>
  <c r="E59" i="42" s="1"/>
  <c r="G64" i="24"/>
  <c r="D65" i="24"/>
  <c r="E65" i="24" s="1"/>
  <c r="H64" i="24"/>
  <c r="H66" i="22"/>
  <c r="G66" i="22"/>
  <c r="D67" i="22"/>
  <c r="E67" i="22" s="1"/>
  <c r="D60" i="39"/>
  <c r="E60" i="39"/>
  <c r="D60" i="38"/>
  <c r="E60" i="38" s="1"/>
  <c r="H60" i="37"/>
  <c r="I60" i="37" s="1"/>
  <c r="B70" i="9"/>
  <c r="F70" i="9"/>
  <c r="D59" i="41"/>
  <c r="E59" i="41"/>
  <c r="D68" i="5"/>
  <c r="E68" i="5" s="1"/>
  <c r="G67" i="5"/>
  <c r="H67" i="5"/>
  <c r="B60" i="13"/>
  <c r="F60" i="13"/>
  <c r="H60" i="13" s="1"/>
  <c r="D70" i="11"/>
  <c r="E70" i="11" s="1"/>
  <c r="G69" i="11"/>
  <c r="H69" i="11"/>
  <c r="G59" i="45"/>
  <c r="I59" i="45" s="1"/>
  <c r="D66" i="23"/>
  <c r="E66" i="23" s="1"/>
  <c r="G65" i="23"/>
  <c r="H65" i="23"/>
  <c r="I69" i="9"/>
  <c r="B59" i="46"/>
  <c r="F59" i="46"/>
  <c r="H59" i="46" s="1"/>
  <c r="G141" i="13"/>
  <c r="D142" i="13"/>
  <c r="E142" i="13" s="1"/>
  <c r="H141" i="46"/>
  <c r="I141" i="46"/>
  <c r="B142" i="46"/>
  <c r="F142" i="46"/>
  <c r="E60" i="44" l="1"/>
  <c r="F60" i="44" s="1"/>
  <c r="B60" i="44"/>
  <c r="I64" i="24"/>
  <c r="I67" i="3"/>
  <c r="I66" i="22"/>
  <c r="I70" i="7"/>
  <c r="I71" i="10"/>
  <c r="G59" i="46"/>
  <c r="I59" i="46" s="1"/>
  <c r="I61" i="30"/>
  <c r="F64" i="27"/>
  <c r="B64" i="27"/>
  <c r="I62" i="29"/>
  <c r="I68" i="8"/>
  <c r="I63" i="27"/>
  <c r="D61" i="13"/>
  <c r="E61" i="13" s="1"/>
  <c r="G70" i="9"/>
  <c r="H70" i="9"/>
  <c r="D71" i="9"/>
  <c r="E71" i="9" s="1"/>
  <c r="F60" i="38"/>
  <c r="G60" i="38" s="1"/>
  <c r="B60" i="38"/>
  <c r="F60" i="39"/>
  <c r="G60" i="39" s="1"/>
  <c r="B60" i="39"/>
  <c r="F72" i="10"/>
  <c r="B72" i="10"/>
  <c r="B71" i="7"/>
  <c r="F71" i="7"/>
  <c r="B58" i="43"/>
  <c r="F58" i="43"/>
  <c r="H58" i="43" s="1"/>
  <c r="I67" i="4"/>
  <c r="I62" i="28"/>
  <c r="F63" i="29"/>
  <c r="B63" i="29"/>
  <c r="I65" i="23"/>
  <c r="F70" i="11"/>
  <c r="B70" i="11"/>
  <c r="B63" i="31"/>
  <c r="F67" i="25"/>
  <c r="B67" i="25"/>
  <c r="B69" i="6"/>
  <c r="F69" i="6"/>
  <c r="F67" i="22"/>
  <c r="B67" i="22"/>
  <c r="F59" i="42"/>
  <c r="H59" i="42" s="1"/>
  <c r="B59" i="42"/>
  <c r="F68" i="3"/>
  <c r="B68" i="3"/>
  <c r="B62" i="30"/>
  <c r="F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B66" i="23"/>
  <c r="I69" i="11"/>
  <c r="G60" i="13"/>
  <c r="I60" i="13" s="1"/>
  <c r="F68" i="5"/>
  <c r="B68" i="5"/>
  <c r="F59" i="41"/>
  <c r="H59" i="41" s="1"/>
  <c r="B59" i="41"/>
  <c r="B65" i="24"/>
  <c r="F65" i="24"/>
  <c r="B68" i="4"/>
  <c r="F68" i="4"/>
  <c r="E63" i="31"/>
  <c r="F63" i="31" s="1"/>
  <c r="E63" i="28"/>
  <c r="F63" i="28" s="1"/>
  <c r="F69" i="8"/>
  <c r="B69" i="8"/>
  <c r="I66" i="25"/>
  <c r="I68" i="6"/>
  <c r="I141" i="13"/>
  <c r="H141" i="13"/>
  <c r="D143" i="46"/>
  <c r="G142" i="46"/>
  <c r="B142" i="13"/>
  <c r="F142" i="13"/>
  <c r="H60" i="44" l="1"/>
  <c r="D61" i="44"/>
  <c r="G60" i="44"/>
  <c r="I60" i="44" s="1"/>
  <c r="G59" i="41"/>
  <c r="I59" i="41" s="1"/>
  <c r="I70" i="9"/>
  <c r="H60" i="39"/>
  <c r="H59" i="40"/>
  <c r="I59" i="40" s="1"/>
  <c r="G59" i="42"/>
  <c r="I59" i="42" s="1"/>
  <c r="G58" i="43"/>
  <c r="I58" i="43" s="1"/>
  <c r="I60" i="39"/>
  <c r="D65" i="27"/>
  <c r="G64" i="27"/>
  <c r="H64" i="27"/>
  <c r="D64" i="28"/>
  <c r="E64" i="28" s="1"/>
  <c r="G63" i="28"/>
  <c r="H63" i="28"/>
  <c r="H63" i="31"/>
  <c r="D64" i="31"/>
  <c r="G63" i="31"/>
  <c r="D70" i="8"/>
  <c r="E70" i="8" s="1"/>
  <c r="G69" i="8"/>
  <c r="H69" i="8"/>
  <c r="D69" i="5"/>
  <c r="H68" i="5"/>
  <c r="G68" i="5"/>
  <c r="D67" i="23"/>
  <c r="G66" i="23"/>
  <c r="H66" i="23"/>
  <c r="D61" i="45"/>
  <c r="E61" i="45" s="1"/>
  <c r="H61" i="37"/>
  <c r="I61" i="37" s="1"/>
  <c r="H69" i="6"/>
  <c r="D70" i="6"/>
  <c r="G69" i="6"/>
  <c r="H70" i="11"/>
  <c r="D71" i="11"/>
  <c r="G70" i="11"/>
  <c r="H60" i="38"/>
  <c r="I60" i="38" s="1"/>
  <c r="H65" i="24"/>
  <c r="D66" i="24"/>
  <c r="E66" i="24" s="1"/>
  <c r="G65" i="24"/>
  <c r="H60" i="45"/>
  <c r="D60" i="40"/>
  <c r="E60" i="40"/>
  <c r="H68" i="3"/>
  <c r="D69" i="3"/>
  <c r="G68" i="3"/>
  <c r="D60" i="42"/>
  <c r="E60" i="42"/>
  <c r="H72" i="10"/>
  <c r="G72" i="10"/>
  <c r="G73" i="10" s="1"/>
  <c r="D61" i="39"/>
  <c r="E61" i="39" s="1"/>
  <c r="D60" i="41"/>
  <c r="E60" i="41"/>
  <c r="F60" i="46"/>
  <c r="G60" i="46" s="1"/>
  <c r="B60" i="46"/>
  <c r="G62" i="30"/>
  <c r="D63" i="30"/>
  <c r="E63" i="30" s="1"/>
  <c r="H62" i="30"/>
  <c r="D59" i="43"/>
  <c r="E59" i="43" s="1"/>
  <c r="G71" i="7"/>
  <c r="H71" i="7"/>
  <c r="D72" i="7"/>
  <c r="G68" i="4"/>
  <c r="D69" i="4"/>
  <c r="H68" i="4"/>
  <c r="G60" i="45"/>
  <c r="D62" i="37"/>
  <c r="E62" i="37" s="1"/>
  <c r="D68" i="22"/>
  <c r="E68" i="22" s="1"/>
  <c r="H67" i="22"/>
  <c r="G67" i="22"/>
  <c r="D68" i="25"/>
  <c r="E68" i="25" s="1"/>
  <c r="G67" i="25"/>
  <c r="H67" i="25"/>
  <c r="H63" i="29"/>
  <c r="G63" i="29"/>
  <c r="D64" i="29"/>
  <c r="E64" i="29" s="1"/>
  <c r="D61" i="38"/>
  <c r="E61" i="38"/>
  <c r="F71" i="9"/>
  <c r="B71" i="9"/>
  <c r="F61" i="13"/>
  <c r="H61" i="13" s="1"/>
  <c r="B61" i="13"/>
  <c r="D143" i="13"/>
  <c r="E143" i="13" s="1"/>
  <c r="G142" i="13"/>
  <c r="B143" i="46"/>
  <c r="H142" i="46"/>
  <c r="I142" i="46"/>
  <c r="E143" i="46"/>
  <c r="F143" i="46" s="1"/>
  <c r="I67" i="25" l="1"/>
  <c r="E61" i="44"/>
  <c r="F61" i="44" s="1"/>
  <c r="B61" i="44"/>
  <c r="H60" i="46"/>
  <c r="I60" i="46" s="1"/>
  <c r="I63" i="28"/>
  <c r="G61" i="13"/>
  <c r="I61" i="13" s="1"/>
  <c r="I68" i="4"/>
  <c r="I71" i="7"/>
  <c r="I68" i="3"/>
  <c r="B65" i="27"/>
  <c r="I63" i="29"/>
  <c r="I69" i="6"/>
  <c r="I64" i="27"/>
  <c r="I65" i="24"/>
  <c r="I70" i="11"/>
  <c r="E65" i="27"/>
  <c r="F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G71" i="9"/>
  <c r="H71" i="9"/>
  <c r="B64" i="29"/>
  <c r="F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E71" i="11"/>
  <c r="F71" i="11" s="1"/>
  <c r="E70" i="6"/>
  <c r="F70" i="6" s="1"/>
  <c r="F61" i="45"/>
  <c r="H61" i="45" s="1"/>
  <c r="B61" i="45"/>
  <c r="B67" i="23"/>
  <c r="B69" i="5"/>
  <c r="B70" i="8"/>
  <c r="F70" i="8"/>
  <c r="I63" i="31"/>
  <c r="D62" i="13"/>
  <c r="E62" i="13" s="1"/>
  <c r="B61" i="38"/>
  <c r="F61" i="38"/>
  <c r="G61" i="38" s="1"/>
  <c r="B68" i="25"/>
  <c r="F68" i="25"/>
  <c r="F68" i="22"/>
  <c r="B68" i="22"/>
  <c r="E69" i="4"/>
  <c r="F69" i="4" s="1"/>
  <c r="E72" i="7"/>
  <c r="E73" i="7" s="1"/>
  <c r="F63" i="30"/>
  <c r="B63" i="30"/>
  <c r="D61" i="46"/>
  <c r="B60" i="40"/>
  <c r="F60" i="40"/>
  <c r="H60" i="40" s="1"/>
  <c r="F66" i="24"/>
  <c r="B66" i="24"/>
  <c r="E67" i="23"/>
  <c r="F67" i="23" s="1"/>
  <c r="E69" i="5"/>
  <c r="F69" i="5" s="1"/>
  <c r="E64" i="31"/>
  <c r="F64" i="31" s="1"/>
  <c r="B64" i="28"/>
  <c r="F64" i="28"/>
  <c r="D144" i="46"/>
  <c r="E144" i="46" s="1"/>
  <c r="G143" i="46"/>
  <c r="I142" i="13"/>
  <c r="H142" i="13"/>
  <c r="B143" i="13"/>
  <c r="F143" i="13"/>
  <c r="H61" i="44" l="1"/>
  <c r="D62" i="44"/>
  <c r="G61" i="44"/>
  <c r="I61" i="44" s="1"/>
  <c r="I71" i="9"/>
  <c r="G61" i="45"/>
  <c r="I61" i="45" s="1"/>
  <c r="G60" i="41"/>
  <c r="I60" i="41" s="1"/>
  <c r="H59" i="43"/>
  <c r="I59" i="43" s="1"/>
  <c r="G65" i="27"/>
  <c r="D66" i="27"/>
  <c r="H65" i="27"/>
  <c r="H60" i="42"/>
  <c r="I60" i="42" s="1"/>
  <c r="H71" i="11"/>
  <c r="G71" i="11"/>
  <c r="D72" i="11"/>
  <c r="E72" i="11" s="1"/>
  <c r="E73" i="11" s="1"/>
  <c r="H69" i="5"/>
  <c r="D70" i="5"/>
  <c r="E70" i="5" s="1"/>
  <c r="G69" i="5"/>
  <c r="G69" i="3"/>
  <c r="H69" i="3"/>
  <c r="D70" i="3"/>
  <c r="E70" i="3" s="1"/>
  <c r="G69" i="4"/>
  <c r="D70" i="4"/>
  <c r="E70" i="4" s="1"/>
  <c r="H69" i="4"/>
  <c r="G67" i="23"/>
  <c r="H67" i="23"/>
  <c r="D68" i="23"/>
  <c r="H64" i="31"/>
  <c r="D65" i="31"/>
  <c r="G64" i="31"/>
  <c r="H70" i="6"/>
  <c r="D71" i="6"/>
  <c r="G70" i="6"/>
  <c r="H66" i="24"/>
  <c r="D67" i="24"/>
  <c r="G66" i="24"/>
  <c r="H63" i="30"/>
  <c r="D64" i="30"/>
  <c r="G63" i="30"/>
  <c r="D69" i="22"/>
  <c r="G68" i="22"/>
  <c r="H68" i="22"/>
  <c r="B72" i="9"/>
  <c r="D62" i="39"/>
  <c r="E62" i="39" s="1"/>
  <c r="G60" i="40"/>
  <c r="I60" i="40" s="1"/>
  <c r="B61" i="46"/>
  <c r="H68" i="25"/>
  <c r="D69" i="25"/>
  <c r="E69" i="25" s="1"/>
  <c r="G68" i="25"/>
  <c r="H61" i="38"/>
  <c r="I61" i="38" s="1"/>
  <c r="D63" i="37"/>
  <c r="D65" i="28"/>
  <c r="G64" i="28"/>
  <c r="H64" i="28"/>
  <c r="E61" i="46"/>
  <c r="F61" i="46" s="1"/>
  <c r="D71" i="8"/>
  <c r="G70" i="8"/>
  <c r="H70" i="8"/>
  <c r="D62" i="45"/>
  <c r="D61" i="41"/>
  <c r="E61" i="41" s="1"/>
  <c r="G61" i="39"/>
  <c r="D60" i="43"/>
  <c r="E60" i="43" s="1"/>
  <c r="F72" i="7"/>
  <c r="D61" i="40"/>
  <c r="E61" i="40" s="1"/>
  <c r="D62" i="38"/>
  <c r="E62" i="38"/>
  <c r="F62" i="13"/>
  <c r="G62" i="13" s="1"/>
  <c r="B62" i="13"/>
  <c r="D61" i="42"/>
  <c r="E61" i="42" s="1"/>
  <c r="H62" i="37"/>
  <c r="I62" i="37" s="1"/>
  <c r="G64" i="29"/>
  <c r="H64" i="29"/>
  <c r="D65" i="29"/>
  <c r="E65" i="29" s="1"/>
  <c r="E72" i="9"/>
  <c r="E73" i="9" s="1"/>
  <c r="H61" i="39"/>
  <c r="D144" i="13"/>
  <c r="G143" i="13"/>
  <c r="I143" i="46"/>
  <c r="H143" i="46"/>
  <c r="B144" i="46"/>
  <c r="F144" i="46"/>
  <c r="E62" i="44" l="1"/>
  <c r="F62" i="44" s="1"/>
  <c r="B62" i="44"/>
  <c r="I66" i="24"/>
  <c r="I67" i="23"/>
  <c r="I65" i="27"/>
  <c r="I70" i="6"/>
  <c r="I63" i="30"/>
  <c r="E66" i="27"/>
  <c r="F66" i="27" s="1"/>
  <c r="B66" i="27"/>
  <c r="I64" i="31"/>
  <c r="I69" i="4"/>
  <c r="I69" i="3"/>
  <c r="D62" i="46"/>
  <c r="E62" i="46" s="1"/>
  <c r="G61" i="46"/>
  <c r="H61" i="46"/>
  <c r="D63" i="13"/>
  <c r="E63" i="13" s="1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B72" i="11"/>
  <c r="F72" i="11"/>
  <c r="B62" i="38"/>
  <c r="F62" i="38"/>
  <c r="G62" i="38" s="1"/>
  <c r="E62" i="45"/>
  <c r="F62" i="45" s="1"/>
  <c r="B71" i="8"/>
  <c r="E65" i="28"/>
  <c r="F65" i="28" s="1"/>
  <c r="B63" i="37"/>
  <c r="B69" i="22"/>
  <c r="F70" i="4"/>
  <c r="B70" i="4"/>
  <c r="F70" i="5"/>
  <c r="B70" i="5"/>
  <c r="F65" i="29"/>
  <c r="B65" i="29"/>
  <c r="I61" i="39"/>
  <c r="I64" i="29"/>
  <c r="B61" i="42"/>
  <c r="F61" i="42"/>
  <c r="H61" i="42" s="1"/>
  <c r="H62" i="13"/>
  <c r="I62" i="13" s="1"/>
  <c r="G72" i="7"/>
  <c r="G73" i="7" s="1"/>
  <c r="H72" i="7"/>
  <c r="E71" i="8"/>
  <c r="F71" i="8" s="1"/>
  <c r="I64" i="28"/>
  <c r="E63" i="37"/>
  <c r="F63" i="37" s="1"/>
  <c r="F69" i="25"/>
  <c r="B69" i="25"/>
  <c r="F62" i="39"/>
  <c r="G62" i="39" s="1"/>
  <c r="B62" i="39"/>
  <c r="E69" i="22"/>
  <c r="F69" i="22" s="1"/>
  <c r="E64" i="30"/>
  <c r="F64" i="30" s="1"/>
  <c r="E67" i="24"/>
  <c r="F67" i="24" s="1"/>
  <c r="E71" i="6"/>
  <c r="F71" i="6" s="1"/>
  <c r="E65" i="31"/>
  <c r="F65" i="31" s="1"/>
  <c r="E68" i="23"/>
  <c r="F68" i="23" s="1"/>
  <c r="I71" i="11"/>
  <c r="G144" i="46"/>
  <c r="D145" i="46"/>
  <c r="H143" i="13"/>
  <c r="I143" i="13"/>
  <c r="B144" i="13"/>
  <c r="E144" i="13"/>
  <c r="F144" i="13" s="1"/>
  <c r="G62" i="44" l="1"/>
  <c r="H62" i="44"/>
  <c r="I62" i="44" s="1"/>
  <c r="D63" i="44"/>
  <c r="I61" i="46"/>
  <c r="H62" i="39"/>
  <c r="I62" i="39" s="1"/>
  <c r="H61" i="40"/>
  <c r="I61" i="40" s="1"/>
  <c r="G61" i="42"/>
  <c r="I61" i="42" s="1"/>
  <c r="G66" i="27"/>
  <c r="H66" i="27"/>
  <c r="D67" i="27"/>
  <c r="H69" i="22"/>
  <c r="G69" i="22"/>
  <c r="D70" i="22"/>
  <c r="E70" i="22" s="1"/>
  <c r="H65" i="28"/>
  <c r="G65" i="28"/>
  <c r="D66" i="28"/>
  <c r="E66" i="28" s="1"/>
  <c r="H71" i="6"/>
  <c r="G71" i="6"/>
  <c r="D72" i="6"/>
  <c r="E72" i="6" s="1"/>
  <c r="E73" i="6" s="1"/>
  <c r="G65" i="31"/>
  <c r="H65" i="31"/>
  <c r="D66" i="31"/>
  <c r="E66" i="31" s="1"/>
  <c r="G67" i="24"/>
  <c r="H67" i="24"/>
  <c r="D68" i="24"/>
  <c r="E68" i="24" s="1"/>
  <c r="D69" i="23"/>
  <c r="E69" i="23" s="1"/>
  <c r="G68" i="23"/>
  <c r="H68" i="23"/>
  <c r="I68" i="23" s="1"/>
  <c r="H64" i="30"/>
  <c r="D65" i="30"/>
  <c r="E65" i="30" s="1"/>
  <c r="G64" i="30"/>
  <c r="D64" i="37"/>
  <c r="H63" i="37"/>
  <c r="G63" i="37"/>
  <c r="D63" i="45"/>
  <c r="E63" i="45" s="1"/>
  <c r="G62" i="45"/>
  <c r="H62" i="45"/>
  <c r="D70" i="25"/>
  <c r="E70" i="25" s="1"/>
  <c r="G69" i="25"/>
  <c r="H69" i="25"/>
  <c r="I69" i="25" s="1"/>
  <c r="D63" i="38"/>
  <c r="E63" i="38" s="1"/>
  <c r="D71" i="3"/>
  <c r="H70" i="3"/>
  <c r="G70" i="3"/>
  <c r="D61" i="43"/>
  <c r="E61" i="43" s="1"/>
  <c r="I72" i="7"/>
  <c r="I73" i="7" s="1"/>
  <c r="H73" i="7"/>
  <c r="G70" i="5"/>
  <c r="D71" i="5"/>
  <c r="E71" i="5" s="1"/>
  <c r="H70" i="5"/>
  <c r="D62" i="41"/>
  <c r="E62" i="41" s="1"/>
  <c r="D63" i="39"/>
  <c r="E63" i="39" s="1"/>
  <c r="D62" i="42"/>
  <c r="E62" i="42" s="1"/>
  <c r="H62" i="38"/>
  <c r="I62" i="38" s="1"/>
  <c r="H72" i="11"/>
  <c r="G72" i="11"/>
  <c r="G73" i="11" s="1"/>
  <c r="G60" i="43"/>
  <c r="I60" i="43" s="1"/>
  <c r="G61" i="41"/>
  <c r="I61" i="41" s="1"/>
  <c r="D62" i="40"/>
  <c r="E62" i="40" s="1"/>
  <c r="G65" i="29"/>
  <c r="H65" i="29"/>
  <c r="D66" i="29"/>
  <c r="E66" i="29" s="1"/>
  <c r="H70" i="4"/>
  <c r="G70" i="4"/>
  <c r="D71" i="4"/>
  <c r="E71" i="4" s="1"/>
  <c r="H71" i="8"/>
  <c r="G71" i="8"/>
  <c r="D72" i="8"/>
  <c r="E72" i="8" s="1"/>
  <c r="E73" i="8" s="1"/>
  <c r="H72" i="9"/>
  <c r="G72" i="9"/>
  <c r="G73" i="9" s="1"/>
  <c r="B63" i="13"/>
  <c r="F63" i="13"/>
  <c r="G63" i="13" s="1"/>
  <c r="F62" i="46"/>
  <c r="H62" i="46" s="1"/>
  <c r="B62" i="46"/>
  <c r="G144" i="13"/>
  <c r="D145" i="13"/>
  <c r="E145" i="13" s="1"/>
  <c r="B145" i="46"/>
  <c r="I144" i="46"/>
  <c r="H144" i="46"/>
  <c r="E145" i="46"/>
  <c r="F145" i="46" s="1"/>
  <c r="I70" i="4" l="1"/>
  <c r="E63" i="44"/>
  <c r="F63" i="44" s="1"/>
  <c r="B63" i="44"/>
  <c r="I66" i="27"/>
  <c r="G62" i="46"/>
  <c r="I62" i="46" s="1"/>
  <c r="I63" i="37"/>
  <c r="H63" i="13"/>
  <c r="I63" i="13" s="1"/>
  <c r="B67" i="27"/>
  <c r="I71" i="8"/>
  <c r="E67" i="27"/>
  <c r="F67" i="27" s="1"/>
  <c r="I65" i="31"/>
  <c r="D64" i="13"/>
  <c r="E64" i="13" s="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F68" i="24"/>
  <c r="B68" i="24"/>
  <c r="F66" i="31"/>
  <c r="B66" i="31"/>
  <c r="F72" i="6"/>
  <c r="B72" i="6"/>
  <c r="F66" i="28"/>
  <c r="B66" i="28"/>
  <c r="B70" i="22"/>
  <c r="F70" i="22"/>
  <c r="I72" i="9"/>
  <c r="I73" i="9" s="1"/>
  <c r="H73" i="9"/>
  <c r="D63" i="46"/>
  <c r="E63" i="46" s="1"/>
  <c r="B71" i="5"/>
  <c r="F71" i="5"/>
  <c r="E71" i="3"/>
  <c r="F71" i="3" s="1"/>
  <c r="B64" i="37"/>
  <c r="F65" i="30"/>
  <c r="B65" i="30"/>
  <c r="I67" i="24"/>
  <c r="F72" i="8"/>
  <c r="B72" i="8"/>
  <c r="B71" i="4"/>
  <c r="F71" i="4"/>
  <c r="F66" i="29"/>
  <c r="B66" i="29"/>
  <c r="F62" i="40"/>
  <c r="H62" i="40" s="1"/>
  <c r="B62" i="40"/>
  <c r="B62" i="42"/>
  <c r="F62" i="42"/>
  <c r="H62" i="42" s="1"/>
  <c r="B63" i="38"/>
  <c r="F63" i="38"/>
  <c r="G63" i="38" s="1"/>
  <c r="F70" i="25"/>
  <c r="B70" i="25"/>
  <c r="F63" i="45"/>
  <c r="H63" i="45" s="1"/>
  <c r="B63" i="45"/>
  <c r="E64" i="37"/>
  <c r="F64" i="37" s="1"/>
  <c r="H64" i="37" s="1"/>
  <c r="I64" i="30"/>
  <c r="B69" i="23"/>
  <c r="F69" i="23"/>
  <c r="I71" i="6"/>
  <c r="I65" i="28"/>
  <c r="I69" i="22"/>
  <c r="D146" i="46"/>
  <c r="E146" i="46" s="1"/>
  <c r="G145" i="46"/>
  <c r="F145" i="13"/>
  <c r="B145" i="13"/>
  <c r="H144" i="13"/>
  <c r="I144" i="13"/>
  <c r="D64" i="44" l="1"/>
  <c r="G63" i="44"/>
  <c r="H63" i="44"/>
  <c r="H63" i="38"/>
  <c r="I63" i="38" s="1"/>
  <c r="G63" i="45"/>
  <c r="I63" i="45" s="1"/>
  <c r="G67" i="27"/>
  <c r="D68" i="27"/>
  <c r="B68" i="27" s="1"/>
  <c r="H67" i="27"/>
  <c r="H61" i="43"/>
  <c r="I61" i="43" s="1"/>
  <c r="G71" i="3"/>
  <c r="H71" i="3"/>
  <c r="D72" i="3"/>
  <c r="E72" i="3" s="1"/>
  <c r="E73" i="3" s="1"/>
  <c r="G69" i="23"/>
  <c r="H69" i="23"/>
  <c r="D70" i="23"/>
  <c r="E70" i="23" s="1"/>
  <c r="H71" i="4"/>
  <c r="D72" i="4"/>
  <c r="E72" i="4" s="1"/>
  <c r="E73" i="4" s="1"/>
  <c r="G71" i="4"/>
  <c r="D72" i="5"/>
  <c r="E72" i="5" s="1"/>
  <c r="E73" i="5" s="1"/>
  <c r="H71" i="5"/>
  <c r="G71" i="5"/>
  <c r="G62" i="41"/>
  <c r="I62" i="41" s="1"/>
  <c r="D71" i="25"/>
  <c r="G70" i="25"/>
  <c r="H70" i="25"/>
  <c r="D63" i="40"/>
  <c r="E63" i="40"/>
  <c r="D65" i="37"/>
  <c r="E65" i="37" s="1"/>
  <c r="H66" i="28"/>
  <c r="D67" i="28"/>
  <c r="G66" i="28"/>
  <c r="G66" i="31"/>
  <c r="D67" i="31"/>
  <c r="H66" i="31"/>
  <c r="D62" i="43"/>
  <c r="E62" i="43" s="1"/>
  <c r="F64" i="13"/>
  <c r="H64" i="13" s="1"/>
  <c r="B64" i="13"/>
  <c r="D63" i="42"/>
  <c r="G65" i="30"/>
  <c r="H65" i="30"/>
  <c r="D66" i="30"/>
  <c r="H70" i="22"/>
  <c r="D71" i="22"/>
  <c r="G70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H66" i="29"/>
  <c r="D67" i="29"/>
  <c r="G66" i="29"/>
  <c r="H72" i="8"/>
  <c r="G72" i="8"/>
  <c r="G73" i="8" s="1"/>
  <c r="G64" i="37"/>
  <c r="I64" i="37" s="1"/>
  <c r="B63" i="46"/>
  <c r="F63" i="46"/>
  <c r="G63" i="46" s="1"/>
  <c r="G72" i="6"/>
  <c r="G73" i="6" s="1"/>
  <c r="H72" i="6"/>
  <c r="H68" i="24"/>
  <c r="G68" i="24"/>
  <c r="D69" i="24"/>
  <c r="E69" i="24" s="1"/>
  <c r="G63" i="39"/>
  <c r="I63" i="39" s="1"/>
  <c r="I145" i="46"/>
  <c r="H145" i="46"/>
  <c r="G145" i="13"/>
  <c r="D146" i="13"/>
  <c r="E146" i="13" s="1"/>
  <c r="F146" i="46"/>
  <c r="B146" i="46"/>
  <c r="I63" i="44" l="1"/>
  <c r="E64" i="44"/>
  <c r="F64" i="44" s="1"/>
  <c r="B64" i="44"/>
  <c r="I66" i="28"/>
  <c r="I65" i="30"/>
  <c r="I66" i="29"/>
  <c r="I70" i="22"/>
  <c r="E68" i="27"/>
  <c r="F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B69" i="24"/>
  <c r="E67" i="29"/>
  <c r="F67" i="29" s="1"/>
  <c r="D65" i="13"/>
  <c r="E65" i="13" s="1"/>
  <c r="B62" i="43"/>
  <c r="F62" i="43"/>
  <c r="G62" i="43" s="1"/>
  <c r="B63" i="40"/>
  <c r="F63" i="40"/>
  <c r="H63" i="40" s="1"/>
  <c r="B71" i="25"/>
  <c r="B72" i="4"/>
  <c r="F72" i="4"/>
  <c r="F70" i="23"/>
  <c r="B70" i="23"/>
  <c r="B64" i="38"/>
  <c r="F64" i="38"/>
  <c r="H64" i="38" s="1"/>
  <c r="B67" i="28"/>
  <c r="D64" i="46"/>
  <c r="E64" i="46" s="1"/>
  <c r="F64" i="45"/>
  <c r="H64" i="45"/>
  <c r="B64" i="45"/>
  <c r="B63" i="41"/>
  <c r="F63" i="41"/>
  <c r="H63" i="41" s="1"/>
  <c r="E71" i="22"/>
  <c r="F71" i="22" s="1"/>
  <c r="E66" i="30"/>
  <c r="F66" i="30" s="1"/>
  <c r="E63" i="42"/>
  <c r="F63" i="42" s="1"/>
  <c r="G64" i="13"/>
  <c r="I64" i="13" s="1"/>
  <c r="E67" i="31"/>
  <c r="F67" i="31" s="1"/>
  <c r="E67" i="28"/>
  <c r="F67" i="28" s="1"/>
  <c r="F65" i="37"/>
  <c r="G65" i="37" s="1"/>
  <c r="B65" i="37"/>
  <c r="E71" i="25"/>
  <c r="F71" i="25" s="1"/>
  <c r="B72" i="5"/>
  <c r="F72" i="5"/>
  <c r="I71" i="4"/>
  <c r="I69" i="23"/>
  <c r="F72" i="3"/>
  <c r="B72" i="3"/>
  <c r="H145" i="13"/>
  <c r="I145" i="13"/>
  <c r="D147" i="46"/>
  <c r="E147" i="46" s="1"/>
  <c r="G146" i="46"/>
  <c r="B146" i="13"/>
  <c r="F146" i="13"/>
  <c r="G63" i="41" l="1"/>
  <c r="G64" i="44"/>
  <c r="D65" i="44"/>
  <c r="H64" i="44"/>
  <c r="I64" i="44" s="1"/>
  <c r="I63" i="41"/>
  <c r="H68" i="27"/>
  <c r="G68" i="27"/>
  <c r="D69" i="27"/>
  <c r="E69" i="27" s="1"/>
  <c r="D64" i="42"/>
  <c r="E64" i="42" s="1"/>
  <c r="H63" i="42"/>
  <c r="G63" i="42"/>
  <c r="H66" i="30"/>
  <c r="G66" i="30"/>
  <c r="D67" i="30"/>
  <c r="E67" i="30" s="1"/>
  <c r="G67" i="29"/>
  <c r="D68" i="29"/>
  <c r="H67" i="29"/>
  <c r="H67" i="28"/>
  <c r="D68" i="28"/>
  <c r="G67" i="28"/>
  <c r="D68" i="31"/>
  <c r="H67" i="31"/>
  <c r="G67" i="31"/>
  <c r="D65" i="39"/>
  <c r="E65" i="39" s="1"/>
  <c r="H64" i="39"/>
  <c r="G64" i="39"/>
  <c r="G72" i="5"/>
  <c r="G73" i="5" s="1"/>
  <c r="H72" i="5"/>
  <c r="H73" i="5" s="1"/>
  <c r="D65" i="45"/>
  <c r="H72" i="4"/>
  <c r="G72" i="4"/>
  <c r="G73" i="4" s="1"/>
  <c r="D63" i="43"/>
  <c r="E63" i="43" s="1"/>
  <c r="H69" i="24"/>
  <c r="G69" i="24"/>
  <c r="D70" i="24"/>
  <c r="E70" i="24" s="1"/>
  <c r="H70" i="23"/>
  <c r="G70" i="23"/>
  <c r="D71" i="23"/>
  <c r="E71" i="23" s="1"/>
  <c r="D72" i="25"/>
  <c r="E72" i="25" s="1"/>
  <c r="E73" i="25" s="1"/>
  <c r="H71" i="25"/>
  <c r="G71" i="25"/>
  <c r="D66" i="37"/>
  <c r="E66" i="37" s="1"/>
  <c r="D64" i="40"/>
  <c r="E64" i="40" s="1"/>
  <c r="F65" i="13"/>
  <c r="G65" i="13" s="1"/>
  <c r="B65" i="13"/>
  <c r="D65" i="38"/>
  <c r="E65" i="38" s="1"/>
  <c r="H71" i="22"/>
  <c r="D72" i="22"/>
  <c r="E72" i="22" s="1"/>
  <c r="E73" i="22" s="1"/>
  <c r="G71" i="22"/>
  <c r="H72" i="3"/>
  <c r="G72" i="3"/>
  <c r="G73" i="3" s="1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I146" i="46"/>
  <c r="H146" i="46"/>
  <c r="F147" i="46"/>
  <c r="B147" i="46"/>
  <c r="I67" i="29" l="1"/>
  <c r="E65" i="44"/>
  <c r="F65" i="44" s="1"/>
  <c r="B65" i="44"/>
  <c r="I68" i="27"/>
  <c r="I71" i="22"/>
  <c r="H65" i="13"/>
  <c r="I65" i="13" s="1"/>
  <c r="I66" i="30"/>
  <c r="B69" i="27"/>
  <c r="F69" i="27"/>
  <c r="F64" i="41"/>
  <c r="G64" i="41" s="1"/>
  <c r="B64" i="41"/>
  <c r="F64" i="40"/>
  <c r="G64" i="40" s="1"/>
  <c r="B64" i="40"/>
  <c r="F70" i="24"/>
  <c r="B70" i="24"/>
  <c r="B63" i="43"/>
  <c r="F63" i="43"/>
  <c r="H63" i="43" s="1"/>
  <c r="B65" i="39"/>
  <c r="F65" i="39"/>
  <c r="G65" i="39" s="1"/>
  <c r="I67" i="31"/>
  <c r="B68" i="28"/>
  <c r="B68" i="29"/>
  <c r="F67" i="30"/>
  <c r="B67" i="30"/>
  <c r="I63" i="42"/>
  <c r="B71" i="23"/>
  <c r="F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B72" i="22"/>
  <c r="D66" i="13"/>
  <c r="F66" i="37"/>
  <c r="H66" i="37" s="1"/>
  <c r="B66" i="37"/>
  <c r="F72" i="25"/>
  <c r="B72" i="25"/>
  <c r="I70" i="23"/>
  <c r="I69" i="24"/>
  <c r="I72" i="4"/>
  <c r="I73" i="4" s="1"/>
  <c r="H73" i="4"/>
  <c r="E65" i="45"/>
  <c r="F65" i="45" s="1"/>
  <c r="I64" i="39"/>
  <c r="E68" i="31"/>
  <c r="F68" i="31" s="1"/>
  <c r="E68" i="28"/>
  <c r="F68" i="28" s="1"/>
  <c r="E68" i="29"/>
  <c r="F68" i="29" s="1"/>
  <c r="F64" i="42"/>
  <c r="H64" i="42" s="1"/>
  <c r="B64" i="42"/>
  <c r="D148" i="46"/>
  <c r="G147" i="46"/>
  <c r="F147" i="13"/>
  <c r="B147" i="13"/>
  <c r="H146" i="13"/>
  <c r="I146" i="13"/>
  <c r="G66" i="37" l="1"/>
  <c r="D66" i="44"/>
  <c r="H65" i="44"/>
  <c r="G65" i="44"/>
  <c r="G63" i="43"/>
  <c r="I63" i="43" s="1"/>
  <c r="H64" i="40"/>
  <c r="I64" i="40" s="1"/>
  <c r="H64" i="41"/>
  <c r="I64" i="41" s="1"/>
  <c r="G69" i="27"/>
  <c r="D70" i="27"/>
  <c r="E70" i="27" s="1"/>
  <c r="H69" i="27"/>
  <c r="H68" i="29"/>
  <c r="G68" i="29"/>
  <c r="D69" i="29"/>
  <c r="E69" i="29" s="1"/>
  <c r="D69" i="28"/>
  <c r="E69" i="28" s="1"/>
  <c r="G68" i="28"/>
  <c r="H68" i="28"/>
  <c r="D66" i="45"/>
  <c r="H65" i="45"/>
  <c r="G65" i="45"/>
  <c r="H68" i="31"/>
  <c r="D69" i="31"/>
  <c r="G68" i="31"/>
  <c r="D65" i="42"/>
  <c r="E65" i="42" s="1"/>
  <c r="H72" i="25"/>
  <c r="G72" i="25"/>
  <c r="G73" i="25" s="1"/>
  <c r="D67" i="37"/>
  <c r="G72" i="22"/>
  <c r="G73" i="22" s="1"/>
  <c r="H72" i="22"/>
  <c r="H65" i="38"/>
  <c r="I65" i="38" s="1"/>
  <c r="D66" i="39"/>
  <c r="E66" i="39" s="1"/>
  <c r="B65" i="46"/>
  <c r="G64" i="42"/>
  <c r="I64" i="42" s="1"/>
  <c r="I66" i="37"/>
  <c r="B66" i="13"/>
  <c r="H65" i="39"/>
  <c r="I65" i="39" s="1"/>
  <c r="D64" i="43"/>
  <c r="E64" i="43" s="1"/>
  <c r="H70" i="24"/>
  <c r="G70" i="24"/>
  <c r="D71" i="24"/>
  <c r="E71" i="24" s="1"/>
  <c r="D65" i="40"/>
  <c r="E65" i="40" s="1"/>
  <c r="D65" i="41"/>
  <c r="E65" i="41" s="1"/>
  <c r="E66" i="13"/>
  <c r="F66" i="13" s="1"/>
  <c r="E65" i="46"/>
  <c r="F65" i="46" s="1"/>
  <c r="D66" i="38"/>
  <c r="E66" i="38" s="1"/>
  <c r="G71" i="23"/>
  <c r="D72" i="23"/>
  <c r="E72" i="23" s="1"/>
  <c r="E73" i="23" s="1"/>
  <c r="H71" i="23"/>
  <c r="H67" i="30"/>
  <c r="D68" i="30"/>
  <c r="G67" i="30"/>
  <c r="I147" i="46"/>
  <c r="H147" i="46"/>
  <c r="D148" i="13"/>
  <c r="G147" i="13"/>
  <c r="B148" i="46"/>
  <c r="E148" i="46"/>
  <c r="F148" i="46" s="1"/>
  <c r="I65" i="44" l="1"/>
  <c r="I68" i="28"/>
  <c r="E66" i="44"/>
  <c r="F66" i="44" s="1"/>
  <c r="B66" i="44"/>
  <c r="I71" i="23"/>
  <c r="F70" i="27"/>
  <c r="B70" i="27"/>
  <c r="I69" i="27"/>
  <c r="D66" i="46"/>
  <c r="E66" i="46" s="1"/>
  <c r="H65" i="46"/>
  <c r="G65" i="46"/>
  <c r="D67" i="13"/>
  <c r="H66" i="13"/>
  <c r="G66" i="13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B69" i="29"/>
  <c r="E68" i="30"/>
  <c r="F68" i="30" s="1"/>
  <c r="E67" i="37"/>
  <c r="F67" i="37" s="1"/>
  <c r="B65" i="42"/>
  <c r="F65" i="42"/>
  <c r="H65" i="42" s="1"/>
  <c r="I68" i="31"/>
  <c r="B66" i="45"/>
  <c r="B72" i="23"/>
  <c r="F72" i="23"/>
  <c r="I72" i="25"/>
  <c r="I73" i="25" s="1"/>
  <c r="H73" i="25"/>
  <c r="F66" i="38"/>
  <c r="H66" i="38" s="1"/>
  <c r="B66" i="38"/>
  <c r="B65" i="41"/>
  <c r="F65" i="41"/>
  <c r="G65" i="41" s="1"/>
  <c r="F71" i="24"/>
  <c r="B71" i="24"/>
  <c r="B64" i="43"/>
  <c r="F64" i="43"/>
  <c r="G64" i="43" s="1"/>
  <c r="I72" i="22"/>
  <c r="I73" i="22" s="1"/>
  <c r="H73" i="22"/>
  <c r="E69" i="31"/>
  <c r="F69" i="31" s="1"/>
  <c r="E66" i="45"/>
  <c r="F66" i="45" s="1"/>
  <c r="F69" i="28"/>
  <c r="B69" i="28"/>
  <c r="I68" i="29"/>
  <c r="D149" i="46"/>
  <c r="E149" i="46" s="1"/>
  <c r="G148" i="46"/>
  <c r="I147" i="13"/>
  <c r="H147" i="13"/>
  <c r="B148" i="13"/>
  <c r="E148" i="13"/>
  <c r="F148" i="13" s="1"/>
  <c r="H66" i="44" l="1"/>
  <c r="D67" i="44"/>
  <c r="B67" i="44" s="1"/>
  <c r="G66" i="44"/>
  <c r="I66" i="44" s="1"/>
  <c r="H64" i="43"/>
  <c r="I64" i="43" s="1"/>
  <c r="G66" i="38"/>
  <c r="I66" i="38" s="1"/>
  <c r="G70" i="27"/>
  <c r="D71" i="27"/>
  <c r="H70" i="27"/>
  <c r="G69" i="31"/>
  <c r="H69" i="31"/>
  <c r="D70" i="31"/>
  <c r="E70" i="31" s="1"/>
  <c r="H68" i="30"/>
  <c r="G68" i="30"/>
  <c r="D69" i="30"/>
  <c r="D68" i="37"/>
  <c r="E68" i="37" s="1"/>
  <c r="H67" i="37"/>
  <c r="G67" i="37"/>
  <c r="D67" i="45"/>
  <c r="E67" i="45" s="1"/>
  <c r="D70" i="29"/>
  <c r="E70" i="29" s="1"/>
  <c r="G69" i="29"/>
  <c r="H69" i="29"/>
  <c r="D66" i="42"/>
  <c r="E66" i="42" s="1"/>
  <c r="H66" i="39"/>
  <c r="I66" i="39" s="1"/>
  <c r="I66" i="13"/>
  <c r="I65" i="46"/>
  <c r="D66" i="40"/>
  <c r="E66" i="40" s="1"/>
  <c r="D65" i="43"/>
  <c r="E65" i="43" s="1"/>
  <c r="H72" i="23"/>
  <c r="G72" i="23"/>
  <c r="G73" i="23" s="1"/>
  <c r="H66" i="45"/>
  <c r="G65" i="42"/>
  <c r="I65" i="42" s="1"/>
  <c r="G65" i="40"/>
  <c r="I65" i="40" s="1"/>
  <c r="B67" i="13"/>
  <c r="H69" i="28"/>
  <c r="D70" i="28"/>
  <c r="E70" i="28" s="1"/>
  <c r="G69" i="28"/>
  <c r="D66" i="41"/>
  <c r="E66" i="41" s="1"/>
  <c r="D72" i="24"/>
  <c r="E72" i="24" s="1"/>
  <c r="E73" i="24" s="1"/>
  <c r="H71" i="24"/>
  <c r="G71" i="24"/>
  <c r="H65" i="41"/>
  <c r="I65" i="41" s="1"/>
  <c r="D67" i="38"/>
  <c r="G66" i="45"/>
  <c r="D67" i="39"/>
  <c r="E67" i="39" s="1"/>
  <c r="E67" i="13"/>
  <c r="F67" i="13" s="1"/>
  <c r="F66" i="46"/>
  <c r="B66" i="46"/>
  <c r="D149" i="13"/>
  <c r="G148" i="13"/>
  <c r="H148" i="46"/>
  <c r="I148" i="46"/>
  <c r="B149" i="46"/>
  <c r="F149" i="46"/>
  <c r="E67" i="44" l="1"/>
  <c r="F67" i="44" s="1"/>
  <c r="G67" i="44"/>
  <c r="I69" i="29"/>
  <c r="E71" i="27"/>
  <c r="F71" i="27" s="1"/>
  <c r="B71" i="27"/>
  <c r="I67" i="37"/>
  <c r="I71" i="24"/>
  <c r="I70" i="27"/>
  <c r="D68" i="13"/>
  <c r="E68" i="13" s="1"/>
  <c r="G67" i="13"/>
  <c r="H67" i="13"/>
  <c r="D67" i="46"/>
  <c r="B69" i="30"/>
  <c r="H66" i="46"/>
  <c r="F72" i="24"/>
  <c r="B72" i="24"/>
  <c r="I72" i="23"/>
  <c r="I73" i="23" s="1"/>
  <c r="H73" i="23"/>
  <c r="F66" i="40"/>
  <c r="B66" i="40"/>
  <c r="B70" i="31"/>
  <c r="F70" i="31"/>
  <c r="B67" i="38"/>
  <c r="F70" i="2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E69" i="30"/>
  <c r="F69" i="30" s="1"/>
  <c r="B149" i="13"/>
  <c r="G149" i="46"/>
  <c r="D150" i="46"/>
  <c r="E149" i="13"/>
  <c r="F149" i="13" s="1"/>
  <c r="I148" i="13"/>
  <c r="H148" i="13"/>
  <c r="H67" i="44" l="1"/>
  <c r="I67" i="44" s="1"/>
  <c r="D68" i="44"/>
  <c r="G66" i="42"/>
  <c r="I66" i="42" s="1"/>
  <c r="G71" i="27"/>
  <c r="D72" i="27"/>
  <c r="H71" i="27"/>
  <c r="I67" i="13"/>
  <c r="H69" i="30"/>
  <c r="D70" i="30"/>
  <c r="G69" i="30"/>
  <c r="D68" i="38"/>
  <c r="D67" i="40"/>
  <c r="E67" i="40" s="1"/>
  <c r="G72" i="24"/>
  <c r="G73" i="24" s="1"/>
  <c r="H72" i="24"/>
  <c r="D71" i="29"/>
  <c r="G70" i="29"/>
  <c r="H70" i="29"/>
  <c r="D68" i="39"/>
  <c r="E68" i="39" s="1"/>
  <c r="G66" i="40"/>
  <c r="I66" i="46"/>
  <c r="D67" i="41"/>
  <c r="D68" i="45"/>
  <c r="E68" i="45" s="1"/>
  <c r="D66" i="43"/>
  <c r="G66" i="41"/>
  <c r="H67" i="45"/>
  <c r="G70" i="28"/>
  <c r="D71" i="28"/>
  <c r="E71" i="28" s="1"/>
  <c r="H70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G70" i="31"/>
  <c r="H70" i="31"/>
  <c r="D71" i="31"/>
  <c r="E71" i="31" s="1"/>
  <c r="E67" i="46"/>
  <c r="F67" i="46" s="1"/>
  <c r="F68" i="13"/>
  <c r="H68" i="13" s="1"/>
  <c r="G68" i="13"/>
  <c r="B68" i="13"/>
  <c r="D150" i="13"/>
  <c r="G149" i="13"/>
  <c r="B150" i="46"/>
  <c r="E150" i="46"/>
  <c r="F150" i="46" s="1"/>
  <c r="I149" i="46"/>
  <c r="H149" i="46"/>
  <c r="E68" i="44" l="1"/>
  <c r="B68" i="44"/>
  <c r="F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8" i="13"/>
  <c r="I67" i="38"/>
  <c r="I67" i="45"/>
  <c r="F68" i="39"/>
  <c r="B68" i="39"/>
  <c r="B71" i="29"/>
  <c r="B69" i="37"/>
  <c r="B71" i="31"/>
  <c r="F71" i="31"/>
  <c r="I70" i="28"/>
  <c r="B68" i="45"/>
  <c r="F68" i="45"/>
  <c r="H68" i="45" s="1"/>
  <c r="E71" i="29"/>
  <c r="F71" i="29" s="1"/>
  <c r="B67" i="40"/>
  <c r="F67" i="40"/>
  <c r="H67" i="40" s="1"/>
  <c r="E70" i="30"/>
  <c r="F70" i="30" s="1"/>
  <c r="B66" i="43"/>
  <c r="B68" i="38"/>
  <c r="D69" i="13"/>
  <c r="E69" i="13" s="1"/>
  <c r="I70" i="31"/>
  <c r="B67" i="42"/>
  <c r="F67" i="42"/>
  <c r="H67" i="42" s="1"/>
  <c r="E69" i="37"/>
  <c r="F69" i="37" s="1"/>
  <c r="B71" i="28"/>
  <c r="F71" i="28"/>
  <c r="E66" i="43"/>
  <c r="F66" i="43" s="1"/>
  <c r="E67" i="41"/>
  <c r="F67" i="41" s="1"/>
  <c r="I70" i="29"/>
  <c r="I72" i="24"/>
  <c r="I73" i="24" s="1"/>
  <c r="H73" i="24"/>
  <c r="E68" i="38"/>
  <c r="F68" i="38" s="1"/>
  <c r="G150" i="46"/>
  <c r="D151" i="46"/>
  <c r="E151" i="46" s="1"/>
  <c r="B150" i="13"/>
  <c r="H149" i="13"/>
  <c r="I149" i="13"/>
  <c r="E150" i="13"/>
  <c r="F150" i="13" s="1"/>
  <c r="H68" i="44" l="1"/>
  <c r="G68" i="44"/>
  <c r="I68" i="44" s="1"/>
  <c r="D69" i="44"/>
  <c r="I67" i="46"/>
  <c r="G68" i="45"/>
  <c r="I68" i="45" s="1"/>
  <c r="F72" i="27"/>
  <c r="G70" i="30"/>
  <c r="H70" i="30"/>
  <c r="D71" i="30"/>
  <c r="E71" i="30" s="1"/>
  <c r="D67" i="43"/>
  <c r="E67" i="43" s="1"/>
  <c r="H66" i="43"/>
  <c r="G66" i="43"/>
  <c r="D72" i="29"/>
  <c r="E72" i="29" s="1"/>
  <c r="E73" i="29" s="1"/>
  <c r="H71" i="29"/>
  <c r="G71" i="29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H71" i="28"/>
  <c r="G71" i="28"/>
  <c r="D72" i="28"/>
  <c r="D68" i="42"/>
  <c r="E68" i="42" s="1"/>
  <c r="G68" i="39"/>
  <c r="G67" i="42"/>
  <c r="I67" i="42" s="1"/>
  <c r="B69" i="13"/>
  <c r="F69" i="13"/>
  <c r="G69" i="13" s="1"/>
  <c r="G67" i="40"/>
  <c r="I67" i="40" s="1"/>
  <c r="D69" i="45"/>
  <c r="G71" i="31"/>
  <c r="D72" i="31"/>
  <c r="E72" i="31" s="1"/>
  <c r="E73" i="31" s="1"/>
  <c r="H71" i="31"/>
  <c r="H68" i="39"/>
  <c r="F68" i="46"/>
  <c r="H68" i="46" s="1"/>
  <c r="B68" i="46"/>
  <c r="G150" i="13"/>
  <c r="D151" i="13"/>
  <c r="I150" i="46"/>
  <c r="H150" i="46"/>
  <c r="B151" i="46"/>
  <c r="F151" i="46"/>
  <c r="I67" i="41" l="1"/>
  <c r="E69" i="44"/>
  <c r="F69" i="44" s="1"/>
  <c r="B69" i="44"/>
  <c r="I68" i="39"/>
  <c r="I70" i="30"/>
  <c r="I69" i="37"/>
  <c r="H69" i="13"/>
  <c r="I69" i="13" s="1"/>
  <c r="I71" i="28"/>
  <c r="H72" i="27"/>
  <c r="G72" i="27"/>
  <c r="G73" i="27" s="1"/>
  <c r="B69" i="45"/>
  <c r="B69" i="39"/>
  <c r="G68" i="46"/>
  <c r="I68" i="46" s="1"/>
  <c r="I68" i="38"/>
  <c r="I66" i="43"/>
  <c r="F71" i="30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B72" i="31"/>
  <c r="E69" i="45"/>
  <c r="F69" i="45" s="1"/>
  <c r="D70" i="13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D152" i="46"/>
  <c r="G151" i="46"/>
  <c r="E151" i="13"/>
  <c r="F151" i="13" s="1"/>
  <c r="H69" i="44" l="1"/>
  <c r="D70" i="44"/>
  <c r="G69" i="44"/>
  <c r="I69" i="44" s="1"/>
  <c r="H70" i="37"/>
  <c r="I70" i="37" s="1"/>
  <c r="G68" i="40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I68" i="40"/>
  <c r="D70" i="38"/>
  <c r="E70" i="38" s="1"/>
  <c r="D68" i="43"/>
  <c r="E68" i="43" s="1"/>
  <c r="H69" i="38"/>
  <c r="G68" i="41"/>
  <c r="I68" i="41" s="1"/>
  <c r="D71" i="37"/>
  <c r="E71" i="37" s="1"/>
  <c r="B70" i="13"/>
  <c r="H72" i="31"/>
  <c r="G72" i="31"/>
  <c r="G73" i="31" s="1"/>
  <c r="F72" i="28"/>
  <c r="D69" i="40"/>
  <c r="E69" i="40" s="1"/>
  <c r="G72" i="29"/>
  <c r="G73" i="29" s="1"/>
  <c r="H72" i="29"/>
  <c r="G69" i="38"/>
  <c r="E70" i="13"/>
  <c r="F70" i="13" s="1"/>
  <c r="B69" i="46"/>
  <c r="F69" i="46"/>
  <c r="G69" i="46" s="1"/>
  <c r="D69" i="42"/>
  <c r="E69" i="42" s="1"/>
  <c r="H71" i="30"/>
  <c r="G71" i="30"/>
  <c r="D72" i="30"/>
  <c r="E72" i="30" s="1"/>
  <c r="E73" i="30" s="1"/>
  <c r="D152" i="13"/>
  <c r="G151" i="13"/>
  <c r="I151" i="46"/>
  <c r="H151" i="46"/>
  <c r="B152" i="46"/>
  <c r="E152" i="46"/>
  <c r="F152" i="46" s="1"/>
  <c r="E70" i="44" l="1"/>
  <c r="F70" i="44" s="1"/>
  <c r="B70" i="44"/>
  <c r="I69" i="39"/>
  <c r="H69" i="46"/>
  <c r="I69" i="46" s="1"/>
  <c r="D71" i="13"/>
  <c r="G70" i="13"/>
  <c r="H70" i="13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F69" i="42"/>
  <c r="G69" i="42" s="1"/>
  <c r="B69" i="42"/>
  <c r="H72" i="28"/>
  <c r="G72" i="28"/>
  <c r="G73" i="28" s="1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D153" i="46"/>
  <c r="G152" i="46"/>
  <c r="B152" i="13"/>
  <c r="H151" i="13"/>
  <c r="I151" i="13"/>
  <c r="E152" i="13"/>
  <c r="F152" i="13" s="1"/>
  <c r="G70" i="38" l="1"/>
  <c r="H70" i="44"/>
  <c r="D71" i="44"/>
  <c r="G70" i="44"/>
  <c r="I70" i="44" s="1"/>
  <c r="I70" i="13"/>
  <c r="H70" i="39"/>
  <c r="I70" i="39" s="1"/>
  <c r="I70" i="38"/>
  <c r="H68" i="43"/>
  <c r="I68" i="43" s="1"/>
  <c r="H71" i="37"/>
  <c r="D71" i="45"/>
  <c r="E71" i="45" s="1"/>
  <c r="H72" i="30"/>
  <c r="G72" i="30"/>
  <c r="G73" i="30" s="1"/>
  <c r="I72" i="28"/>
  <c r="I73" i="28" s="1"/>
  <c r="H73" i="28"/>
  <c r="D70" i="40"/>
  <c r="E70" i="40" s="1"/>
  <c r="D70" i="41"/>
  <c r="E70" i="41" s="1"/>
  <c r="I71" i="37"/>
  <c r="G69" i="40"/>
  <c r="B70" i="46"/>
  <c r="F70" i="46"/>
  <c r="H70" i="46" s="1"/>
  <c r="G69" i="41"/>
  <c r="B71" i="13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E71" i="13"/>
  <c r="F71" i="13" s="1"/>
  <c r="D153" i="13"/>
  <c r="E153" i="13" s="1"/>
  <c r="G152" i="13"/>
  <c r="H152" i="46"/>
  <c r="I152" i="46"/>
  <c r="B153" i="46"/>
  <c r="E153" i="46"/>
  <c r="F153" i="46" s="1"/>
  <c r="E71" i="44" l="1"/>
  <c r="F71" i="44" s="1"/>
  <c r="B71" i="44"/>
  <c r="I69" i="41"/>
  <c r="I69" i="40"/>
  <c r="G70" i="46"/>
  <c r="I70" i="46" s="1"/>
  <c r="D72" i="13"/>
  <c r="G71" i="13"/>
  <c r="H71" i="13"/>
  <c r="F71" i="39"/>
  <c r="G71" i="39" s="1"/>
  <c r="B71" i="39"/>
  <c r="F70" i="41"/>
  <c r="H70" i="41" s="1"/>
  <c r="G70" i="4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D154" i="46"/>
  <c r="E154" i="46" s="1"/>
  <c r="E155" i="46" s="1"/>
  <c r="G153" i="46"/>
  <c r="I152" i="13"/>
  <c r="H152" i="13"/>
  <c r="B153" i="13"/>
  <c r="F153" i="13"/>
  <c r="H71" i="44" l="1"/>
  <c r="D72" i="44"/>
  <c r="G71" i="44"/>
  <c r="I71" i="44" s="1"/>
  <c r="H71" i="39"/>
  <c r="I71" i="39" s="1"/>
  <c r="I70" i="41"/>
  <c r="I71" i="13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B72" i="13"/>
  <c r="D71" i="40"/>
  <c r="G71" i="38"/>
  <c r="I71" i="38" s="1"/>
  <c r="H70" i="42"/>
  <c r="I70" i="42" s="1"/>
  <c r="D71" i="41"/>
  <c r="D72" i="39"/>
  <c r="E72" i="39" s="1"/>
  <c r="E73" i="39" s="1"/>
  <c r="E72" i="13"/>
  <c r="E73" i="13" s="1"/>
  <c r="D154" i="13"/>
  <c r="E154" i="13" s="1"/>
  <c r="E155" i="13" s="1"/>
  <c r="G153" i="13"/>
  <c r="H153" i="46"/>
  <c r="I153" i="46"/>
  <c r="B154" i="46"/>
  <c r="F154" i="46"/>
  <c r="G154" i="46" s="1"/>
  <c r="E72" i="44" l="1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13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H154" i="46"/>
  <c r="H155" i="46" s="1"/>
  <c r="I154" i="46"/>
  <c r="I155" i="46" s="1"/>
  <c r="I153" i="13"/>
  <c r="H153" i="13"/>
  <c r="F154" i="13"/>
  <c r="G154" i="13" s="1"/>
  <c r="B154" i="13"/>
  <c r="F72" i="44" l="1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H72" i="13"/>
  <c r="G72" i="13"/>
  <c r="G73" i="13" s="1"/>
  <c r="B72" i="46"/>
  <c r="E72" i="46"/>
  <c r="E73" i="46" s="1"/>
  <c r="H154" i="13"/>
  <c r="H155" i="13" s="1"/>
  <c r="I154" i="13"/>
  <c r="I155" i="13" s="1"/>
  <c r="I72" i="45" l="1"/>
  <c r="I73" i="45" s="1"/>
  <c r="H72" i="44"/>
  <c r="H73" i="44" s="1"/>
  <c r="H73" i="39"/>
  <c r="I72" i="44"/>
  <c r="I73" i="44" s="1"/>
  <c r="F72" i="46"/>
  <c r="G72" i="46" s="1"/>
  <c r="G73" i="46" s="1"/>
  <c r="I71" i="40"/>
  <c r="F71" i="43"/>
  <c r="H71" i="43" s="1"/>
  <c r="B71" i="43"/>
  <c r="I71" i="41"/>
  <c r="I72" i="13"/>
  <c r="I73" i="13" s="1"/>
  <c r="H73" i="13"/>
  <c r="H72" i="46"/>
  <c r="F72" i="42"/>
  <c r="H72" i="42" s="1"/>
  <c r="B72" i="42"/>
  <c r="I72" i="38"/>
  <c r="I73" i="38" s="1"/>
  <c r="B72" i="41"/>
  <c r="F72" i="41"/>
  <c r="H72" i="41" s="1"/>
  <c r="B72" i="40"/>
  <c r="F72" i="40"/>
  <c r="H72" i="40" s="1"/>
  <c r="G71" i="43" l="1"/>
  <c r="G72" i="40"/>
  <c r="G73" i="40" s="1"/>
  <c r="G72" i="41"/>
  <c r="G73" i="41" s="1"/>
  <c r="G72" i="42"/>
  <c r="G73" i="42" s="1"/>
  <c r="I71" i="43"/>
  <c r="H73" i="42"/>
  <c r="H73" i="41"/>
  <c r="H73" i="40"/>
  <c r="I72" i="46"/>
  <c r="I73" i="46" s="1"/>
  <c r="H73" i="46"/>
  <c r="D72" i="43"/>
  <c r="E72" i="43" s="1"/>
  <c r="E73" i="43" s="1"/>
  <c r="I72" i="41" l="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H72" i="43" l="1"/>
  <c r="I72" i="43" s="1"/>
  <c r="I73" i="43" s="1"/>
  <c r="H73" i="43"/>
  <c r="D95" i="44"/>
  <c r="J96" i="44" s="1"/>
  <c r="D95" i="13"/>
  <c r="D95" i="38"/>
  <c r="J96" i="38" s="1"/>
  <c r="E100" i="38" s="1"/>
  <c r="F100" i="38" s="1"/>
  <c r="G100" i="38" s="1"/>
  <c r="D95" i="45"/>
  <c r="J96" i="45" s="1"/>
  <c r="D95" i="46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E111" i="9" s="1"/>
  <c r="F111" i="9" s="1"/>
  <c r="G111" i="9" s="1"/>
  <c r="H111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I100" i="38" l="1"/>
  <c r="N100" i="38" s="1"/>
  <c r="O100" i="38" s="1"/>
  <c r="H100" i="38"/>
  <c r="L100" i="38" s="1"/>
  <c r="M100" i="38" s="1"/>
  <c r="E100" i="44"/>
  <c r="F100" i="44" s="1"/>
  <c r="E100" i="45"/>
  <c r="F100" i="45" s="1"/>
  <c r="E101" i="45" s="1"/>
  <c r="D100" i="42"/>
  <c r="B100" i="42" s="1"/>
  <c r="D100" i="43"/>
  <c r="B100" i="43" s="1"/>
  <c r="D100" i="41"/>
  <c r="B100" i="41" s="1"/>
  <c r="E100" i="42"/>
  <c r="E100" i="41"/>
  <c r="F100" i="41" s="1"/>
  <c r="E100" i="43"/>
  <c r="P100" i="38" l="1"/>
  <c r="F100" i="42"/>
  <c r="G100" i="42" s="1"/>
  <c r="D101" i="45"/>
  <c r="B101" i="45" s="1"/>
  <c r="G100" i="45"/>
  <c r="G100" i="44"/>
  <c r="D101" i="44"/>
  <c r="J99" i="41"/>
  <c r="J99" i="43"/>
  <c r="D101" i="38"/>
  <c r="G100" i="41"/>
  <c r="D101" i="41"/>
  <c r="D101" i="42"/>
  <c r="F100" i="43"/>
  <c r="I100" i="44" l="1"/>
  <c r="H100" i="44"/>
  <c r="H100" i="45"/>
  <c r="I100" i="45"/>
  <c r="J100" i="45" s="1"/>
  <c r="E101" i="44"/>
  <c r="F101" i="44" s="1"/>
  <c r="B101" i="44"/>
  <c r="F101" i="45"/>
  <c r="J99" i="42"/>
  <c r="I100" i="41"/>
  <c r="N88" i="41" s="1"/>
  <c r="H100" i="41"/>
  <c r="M88" i="41" s="1"/>
  <c r="M89" i="41" s="1"/>
  <c r="I100" i="42"/>
  <c r="N88" i="42" s="1"/>
  <c r="H100" i="42"/>
  <c r="M88" i="42" s="1"/>
  <c r="M89" i="42" s="1"/>
  <c r="M88" i="38"/>
  <c r="M89" i="38" s="1"/>
  <c r="E101" i="41"/>
  <c r="F101" i="41" s="1"/>
  <c r="B101" i="41"/>
  <c r="E101" i="42"/>
  <c r="F101" i="42" s="1"/>
  <c r="B101" i="42"/>
  <c r="E101" i="38"/>
  <c r="F101" i="38" s="1"/>
  <c r="B101" i="38"/>
  <c r="G100" i="43"/>
  <c r="D101" i="43"/>
  <c r="E101" i="43"/>
  <c r="D112" i="7"/>
  <c r="E112" i="7"/>
  <c r="D104" i="31"/>
  <c r="E104" i="31"/>
  <c r="D104" i="29"/>
  <c r="E104" i="29"/>
  <c r="D110" i="6"/>
  <c r="E110" i="6"/>
  <c r="D112" i="10"/>
  <c r="E112" i="10"/>
  <c r="D107" i="23"/>
  <c r="E107" i="23"/>
  <c r="D109" i="3"/>
  <c r="E109" i="3"/>
  <c r="D103" i="30"/>
  <c r="E103" i="30"/>
  <c r="D108" i="25"/>
  <c r="E108" i="25"/>
  <c r="D111" i="11"/>
  <c r="E111" i="11"/>
  <c r="D108" i="22"/>
  <c r="E108" i="22"/>
  <c r="D101" i="39"/>
  <c r="E101" i="39"/>
  <c r="D104" i="28"/>
  <c r="E104" i="28"/>
  <c r="D101" i="37"/>
  <c r="E101" i="37"/>
  <c r="D105" i="27"/>
  <c r="E105" i="27"/>
  <c r="D110" i="8"/>
  <c r="E110" i="8"/>
  <c r="D109" i="5"/>
  <c r="E109" i="5"/>
  <c r="D100" i="40"/>
  <c r="E100" i="40"/>
  <c r="D106" i="24"/>
  <c r="E106" i="24"/>
  <c r="D109" i="4"/>
  <c r="E109" i="4"/>
  <c r="I40" i="17"/>
  <c r="I37" i="17"/>
  <c r="I41" i="17"/>
  <c r="G101" i="45" l="1"/>
  <c r="D102" i="45"/>
  <c r="B102" i="45" s="1"/>
  <c r="E102" i="45"/>
  <c r="G101" i="44"/>
  <c r="D102" i="44"/>
  <c r="E102" i="44"/>
  <c r="J100" i="44"/>
  <c r="J100" i="38"/>
  <c r="N88" i="38"/>
  <c r="N89" i="42"/>
  <c r="O88" i="42"/>
  <c r="O89" i="42" s="1"/>
  <c r="N89" i="41"/>
  <c r="O88" i="41"/>
  <c r="O89" i="41" s="1"/>
  <c r="D102" i="41"/>
  <c r="G101" i="41"/>
  <c r="D102" i="42"/>
  <c r="G101" i="42"/>
  <c r="J100" i="42"/>
  <c r="G101" i="38"/>
  <c r="D102" i="38"/>
  <c r="J100" i="41"/>
  <c r="B106" i="24"/>
  <c r="F106" i="24"/>
  <c r="B101" i="37"/>
  <c r="F101" i="37"/>
  <c r="B111" i="11"/>
  <c r="F111" i="11"/>
  <c r="B107" i="23"/>
  <c r="F107" i="23"/>
  <c r="B104" i="31"/>
  <c r="F104" i="31"/>
  <c r="B100" i="40"/>
  <c r="F100" i="40"/>
  <c r="B109" i="5"/>
  <c r="F109" i="5"/>
  <c r="B105" i="27"/>
  <c r="F105" i="27"/>
  <c r="B108" i="22"/>
  <c r="F108" i="22"/>
  <c r="B109" i="3"/>
  <c r="F109" i="3"/>
  <c r="B104" i="29"/>
  <c r="F104" i="29"/>
  <c r="B110" i="8"/>
  <c r="F110" i="8"/>
  <c r="B101" i="39"/>
  <c r="F101" i="39"/>
  <c r="B103" i="30"/>
  <c r="F103" i="30"/>
  <c r="B110" i="6"/>
  <c r="F110" i="6"/>
  <c r="B101" i="43"/>
  <c r="F101" i="43"/>
  <c r="B109" i="4"/>
  <c r="F109" i="4"/>
  <c r="B111" i="9"/>
  <c r="B104" i="28"/>
  <c r="F104" i="28"/>
  <c r="B108" i="25"/>
  <c r="F108" i="25"/>
  <c r="B112" i="10"/>
  <c r="F112" i="10"/>
  <c r="B112" i="7"/>
  <c r="F112" i="7"/>
  <c r="I100" i="43"/>
  <c r="N88" i="43" s="1"/>
  <c r="H100" i="43"/>
  <c r="M88" i="43" s="1"/>
  <c r="M89" i="43" s="1"/>
  <c r="I42" i="17"/>
  <c r="F102" i="45" l="1"/>
  <c r="G102" i="45" s="1"/>
  <c r="I101" i="44"/>
  <c r="H101" i="44"/>
  <c r="B102" i="44"/>
  <c r="F102" i="44"/>
  <c r="H101" i="45"/>
  <c r="I101" i="45"/>
  <c r="N89" i="38"/>
  <c r="O88" i="38"/>
  <c r="O89" i="38" s="1"/>
  <c r="N89" i="43"/>
  <c r="O88" i="43"/>
  <c r="O89" i="43" s="1"/>
  <c r="E102" i="38"/>
  <c r="F102" i="38" s="1"/>
  <c r="B102" i="38"/>
  <c r="E102" i="42"/>
  <c r="F102" i="42" s="1"/>
  <c r="B102" i="42"/>
  <c r="H101" i="38"/>
  <c r="I101" i="38"/>
  <c r="H101" i="41"/>
  <c r="I101" i="41"/>
  <c r="H101" i="42"/>
  <c r="I101" i="42"/>
  <c r="E102" i="41"/>
  <c r="F102" i="41" s="1"/>
  <c r="B102" i="41"/>
  <c r="J100" i="43"/>
  <c r="G112" i="7"/>
  <c r="D113" i="7"/>
  <c r="E113" i="7"/>
  <c r="J102" i="30"/>
  <c r="D112" i="9"/>
  <c r="E112" i="9"/>
  <c r="G101" i="43"/>
  <c r="D102" i="43"/>
  <c r="E102" i="43"/>
  <c r="J103" i="29"/>
  <c r="J108" i="3"/>
  <c r="G110" i="8"/>
  <c r="D111" i="8"/>
  <c r="E111" i="8"/>
  <c r="G109" i="3"/>
  <c r="D110" i="3"/>
  <c r="E110" i="3"/>
  <c r="J100" i="37"/>
  <c r="G107" i="23"/>
  <c r="D108" i="23"/>
  <c r="E108" i="23"/>
  <c r="J107" i="25"/>
  <c r="J103" i="28"/>
  <c r="J99" i="40"/>
  <c r="G112" i="10"/>
  <c r="D113" i="10"/>
  <c r="E113" i="10"/>
  <c r="J100" i="39"/>
  <c r="G109" i="4"/>
  <c r="D110" i="4"/>
  <c r="E110" i="4"/>
  <c r="G110" i="6"/>
  <c r="D111" i="6"/>
  <c r="E111" i="6"/>
  <c r="J107" i="22"/>
  <c r="G108" i="22"/>
  <c r="D109" i="22"/>
  <c r="E109" i="22"/>
  <c r="G109" i="5"/>
  <c r="D110" i="5"/>
  <c r="E110" i="5"/>
  <c r="G111" i="11"/>
  <c r="D112" i="11"/>
  <c r="E112" i="11"/>
  <c r="G108" i="25"/>
  <c r="D109" i="25"/>
  <c r="E109" i="25"/>
  <c r="J109" i="8"/>
  <c r="G103" i="30"/>
  <c r="D104" i="30"/>
  <c r="E104" i="30"/>
  <c r="J103" i="31"/>
  <c r="G105" i="27"/>
  <c r="D106" i="27"/>
  <c r="E106" i="27"/>
  <c r="J111" i="7"/>
  <c r="J111" i="10"/>
  <c r="G101" i="37"/>
  <c r="D102" i="37"/>
  <c r="E102" i="37"/>
  <c r="J110" i="9"/>
  <c r="G106" i="24"/>
  <c r="D107" i="24"/>
  <c r="E107" i="24"/>
  <c r="J109" i="6"/>
  <c r="G104" i="28"/>
  <c r="D105" i="28"/>
  <c r="E105" i="28"/>
  <c r="J105" i="24"/>
  <c r="G101" i="39"/>
  <c r="D102" i="39"/>
  <c r="E102" i="39"/>
  <c r="J104" i="27"/>
  <c r="G104" i="29"/>
  <c r="D105" i="29"/>
  <c r="E105" i="29"/>
  <c r="J106" i="23"/>
  <c r="J110" i="11"/>
  <c r="G100" i="40"/>
  <c r="D101" i="40"/>
  <c r="E101" i="40"/>
  <c r="G104" i="31"/>
  <c r="D105" i="31"/>
  <c r="E105" i="31"/>
  <c r="J108" i="5"/>
  <c r="J108" i="4"/>
  <c r="D103" i="45" l="1"/>
  <c r="B103" i="45" s="1"/>
  <c r="E103" i="45"/>
  <c r="F103" i="45" s="1"/>
  <c r="D104" i="45" s="1"/>
  <c r="B104" i="45" s="1"/>
  <c r="J101" i="44"/>
  <c r="D103" i="44"/>
  <c r="B103" i="44" s="1"/>
  <c r="G102" i="44"/>
  <c r="E103" i="44"/>
  <c r="H102" i="45"/>
  <c r="I102" i="45"/>
  <c r="J101" i="45"/>
  <c r="J101" i="42"/>
  <c r="J101" i="38"/>
  <c r="G102" i="41"/>
  <c r="D103" i="41"/>
  <c r="E103" i="41"/>
  <c r="G102" i="42"/>
  <c r="D103" i="42"/>
  <c r="B103" i="42" s="1"/>
  <c r="E103" i="42"/>
  <c r="J101" i="41"/>
  <c r="D103" i="38"/>
  <c r="G102" i="38"/>
  <c r="B107" i="24"/>
  <c r="F107" i="24"/>
  <c r="B101" i="40"/>
  <c r="F101" i="40"/>
  <c r="I101" i="39"/>
  <c r="N88" i="39" s="1"/>
  <c r="N89" i="39" s="1"/>
  <c r="H101" i="39"/>
  <c r="M88" i="39" s="1"/>
  <c r="M89" i="39" s="1"/>
  <c r="I106" i="24"/>
  <c r="N88" i="24" s="1"/>
  <c r="N89" i="24" s="1"/>
  <c r="H106" i="24"/>
  <c r="M88" i="24" s="1"/>
  <c r="M89" i="24" s="1"/>
  <c r="H101" i="37"/>
  <c r="M88" i="37" s="1"/>
  <c r="M89" i="37" s="1"/>
  <c r="I101" i="37"/>
  <c r="N88" i="37" s="1"/>
  <c r="N89" i="37" s="1"/>
  <c r="B106" i="27"/>
  <c r="F106" i="27"/>
  <c r="B104" i="30"/>
  <c r="F104" i="30"/>
  <c r="B109" i="25"/>
  <c r="F109" i="25"/>
  <c r="I109" i="5"/>
  <c r="N88" i="5" s="1"/>
  <c r="H109" i="5"/>
  <c r="M88" i="5" s="1"/>
  <c r="M89" i="5" s="1"/>
  <c r="B109" i="22"/>
  <c r="F109" i="22"/>
  <c r="B111" i="8"/>
  <c r="F111" i="8"/>
  <c r="B113" i="7"/>
  <c r="F113" i="7"/>
  <c r="B105" i="31"/>
  <c r="F105" i="31"/>
  <c r="H100" i="40"/>
  <c r="M88" i="40" s="1"/>
  <c r="M89" i="40" s="1"/>
  <c r="I100" i="40"/>
  <c r="N88" i="40" s="1"/>
  <c r="N89" i="40" s="1"/>
  <c r="B105" i="29"/>
  <c r="F105" i="29"/>
  <c r="B105" i="28"/>
  <c r="F105" i="28"/>
  <c r="H105" i="27"/>
  <c r="M88" i="27" s="1"/>
  <c r="M89" i="27" s="1"/>
  <c r="I105" i="27"/>
  <c r="N88" i="27" s="1"/>
  <c r="N89" i="27" s="1"/>
  <c r="H103" i="30"/>
  <c r="M88" i="30" s="1"/>
  <c r="M89" i="30" s="1"/>
  <c r="I103" i="30"/>
  <c r="N88" i="30" s="1"/>
  <c r="N89" i="30" s="1"/>
  <c r="I108" i="25"/>
  <c r="N88" i="25" s="1"/>
  <c r="N89" i="25" s="1"/>
  <c r="H108" i="25"/>
  <c r="M88" i="25" s="1"/>
  <c r="M89" i="25" s="1"/>
  <c r="I108" i="22"/>
  <c r="N88" i="22" s="1"/>
  <c r="N89" i="22" s="1"/>
  <c r="H108" i="22"/>
  <c r="M88" i="22" s="1"/>
  <c r="M89" i="22" s="1"/>
  <c r="B110" i="4"/>
  <c r="F110" i="4"/>
  <c r="B113" i="10"/>
  <c r="F113" i="10"/>
  <c r="B108" i="23"/>
  <c r="F108" i="23"/>
  <c r="B110" i="3"/>
  <c r="F110" i="3"/>
  <c r="I110" i="8"/>
  <c r="N88" i="8" s="1"/>
  <c r="N89" i="8" s="1"/>
  <c r="H110" i="8"/>
  <c r="M88" i="8" s="1"/>
  <c r="M89" i="8" s="1"/>
  <c r="B102" i="43"/>
  <c r="F102" i="43"/>
  <c r="H112" i="7"/>
  <c r="M88" i="7" s="1"/>
  <c r="M89" i="7" s="1"/>
  <c r="I112" i="7"/>
  <c r="N88" i="7" s="1"/>
  <c r="I104" i="31"/>
  <c r="N88" i="31" s="1"/>
  <c r="N89" i="31" s="1"/>
  <c r="H104" i="31"/>
  <c r="M88" i="31" s="1"/>
  <c r="M89" i="31" s="1"/>
  <c r="I104" i="29"/>
  <c r="N88" i="29" s="1"/>
  <c r="N89" i="29" s="1"/>
  <c r="H104" i="29"/>
  <c r="M88" i="29" s="1"/>
  <c r="M89" i="29" s="1"/>
  <c r="I104" i="28"/>
  <c r="N88" i="28" s="1"/>
  <c r="N89" i="28" s="1"/>
  <c r="H104" i="28"/>
  <c r="M88" i="28" s="1"/>
  <c r="M89" i="28" s="1"/>
  <c r="B112" i="11"/>
  <c r="F112" i="11"/>
  <c r="B111" i="6"/>
  <c r="F111" i="6"/>
  <c r="I109" i="4"/>
  <c r="N88" i="4" s="1"/>
  <c r="H109" i="4"/>
  <c r="M88" i="4" s="1"/>
  <c r="M89" i="4" s="1"/>
  <c r="H112" i="10"/>
  <c r="M88" i="10" s="1"/>
  <c r="M89" i="10" s="1"/>
  <c r="I112" i="10"/>
  <c r="N88" i="10" s="1"/>
  <c r="N89" i="10" s="1"/>
  <c r="H107" i="23"/>
  <c r="M88" i="23" s="1"/>
  <c r="M89" i="23" s="1"/>
  <c r="I107" i="23"/>
  <c r="N88" i="23" s="1"/>
  <c r="H109" i="3"/>
  <c r="M88" i="3" s="1"/>
  <c r="I109" i="3"/>
  <c r="N88" i="3" s="1"/>
  <c r="H101" i="43"/>
  <c r="I101" i="43"/>
  <c r="B112" i="9"/>
  <c r="F112" i="9"/>
  <c r="B102" i="39"/>
  <c r="F102" i="39"/>
  <c r="B102" i="37"/>
  <c r="F102" i="37"/>
  <c r="H111" i="11"/>
  <c r="M88" i="11" s="1"/>
  <c r="M89" i="11" s="1"/>
  <c r="I111" i="11"/>
  <c r="N88" i="11" s="1"/>
  <c r="B110" i="5"/>
  <c r="F110" i="5"/>
  <c r="I110" i="6"/>
  <c r="N88" i="6" s="1"/>
  <c r="N89" i="6" s="1"/>
  <c r="H110" i="6"/>
  <c r="M88" i="6" s="1"/>
  <c r="M89" i="6" s="1"/>
  <c r="I111" i="9"/>
  <c r="N88" i="9" s="1"/>
  <c r="M88" i="9"/>
  <c r="M89" i="9" s="1"/>
  <c r="I33" i="17"/>
  <c r="I34" i="17"/>
  <c r="I19" i="17"/>
  <c r="I30" i="17"/>
  <c r="I32" i="17"/>
  <c r="I38" i="17"/>
  <c r="I39" i="17"/>
  <c r="I24" i="17"/>
  <c r="I23" i="17"/>
  <c r="I29" i="17"/>
  <c r="I20" i="17"/>
  <c r="I25" i="17"/>
  <c r="I31" i="17"/>
  <c r="I22" i="17"/>
  <c r="I28" i="17"/>
  <c r="I36" i="17"/>
  <c r="I27" i="17"/>
  <c r="I26" i="17"/>
  <c r="I35" i="17"/>
  <c r="I21" i="17"/>
  <c r="E104" i="45" l="1"/>
  <c r="G103" i="45"/>
  <c r="I103" i="45" s="1"/>
  <c r="J102" i="45"/>
  <c r="F103" i="44"/>
  <c r="E104" i="44" s="1"/>
  <c r="F104" i="45"/>
  <c r="H102" i="44"/>
  <c r="I102" i="44"/>
  <c r="H103" i="45"/>
  <c r="M88" i="45" s="1"/>
  <c r="M89" i="45" s="1"/>
  <c r="O88" i="11"/>
  <c r="O89" i="11" s="1"/>
  <c r="O88" i="23"/>
  <c r="O89" i="23" s="1"/>
  <c r="O88" i="39"/>
  <c r="O89" i="39" s="1"/>
  <c r="N89" i="23"/>
  <c r="O88" i="5"/>
  <c r="O89" i="5" s="1"/>
  <c r="O88" i="3"/>
  <c r="O89" i="3" s="1"/>
  <c r="O88" i="7"/>
  <c r="O89" i="7" s="1"/>
  <c r="O88" i="24"/>
  <c r="O89" i="24" s="1"/>
  <c r="O88" i="25"/>
  <c r="O89" i="25" s="1"/>
  <c r="N89" i="5"/>
  <c r="O88" i="28"/>
  <c r="O89" i="28" s="1"/>
  <c r="O88" i="10"/>
  <c r="O89" i="10" s="1"/>
  <c r="O88" i="8"/>
  <c r="O89" i="8" s="1"/>
  <c r="O88" i="6"/>
  <c r="O89" i="6" s="1"/>
  <c r="N89" i="7"/>
  <c r="O88" i="31"/>
  <c r="O89" i="31" s="1"/>
  <c r="M89" i="3"/>
  <c r="O88" i="27"/>
  <c r="O89" i="27" s="1"/>
  <c r="O88" i="9"/>
  <c r="O89" i="9" s="1"/>
  <c r="O88" i="4"/>
  <c r="O89" i="4" s="1"/>
  <c r="O88" i="22"/>
  <c r="O89" i="22" s="1"/>
  <c r="N89" i="4"/>
  <c r="O88" i="29"/>
  <c r="O89" i="29" s="1"/>
  <c r="N89" i="3"/>
  <c r="N89" i="11"/>
  <c r="N89" i="9"/>
  <c r="O88" i="30"/>
  <c r="O89" i="30" s="1"/>
  <c r="O88" i="40"/>
  <c r="O89" i="40" s="1"/>
  <c r="O88" i="37"/>
  <c r="O89" i="37" s="1"/>
  <c r="F103" i="42"/>
  <c r="D104" i="42" s="1"/>
  <c r="H102" i="42"/>
  <c r="I102" i="42"/>
  <c r="E103" i="38"/>
  <c r="F103" i="38" s="1"/>
  <c r="B103" i="38"/>
  <c r="B103" i="41"/>
  <c r="F103" i="41"/>
  <c r="H102" i="38"/>
  <c r="I102" i="38"/>
  <c r="I102" i="41"/>
  <c r="H102" i="41"/>
  <c r="J111" i="9"/>
  <c r="J101" i="43"/>
  <c r="G110" i="5"/>
  <c r="D111" i="5"/>
  <c r="E111" i="5"/>
  <c r="G112" i="9"/>
  <c r="D113" i="9"/>
  <c r="E113" i="9"/>
  <c r="J112" i="10"/>
  <c r="G111" i="6"/>
  <c r="D112" i="6"/>
  <c r="E112" i="6"/>
  <c r="J104" i="29"/>
  <c r="J109" i="5"/>
  <c r="J106" i="24"/>
  <c r="G107" i="24"/>
  <c r="D108" i="24"/>
  <c r="E108" i="24"/>
  <c r="G102" i="37"/>
  <c r="D103" i="37"/>
  <c r="E103" i="37"/>
  <c r="G102" i="39"/>
  <c r="D103" i="39"/>
  <c r="E103" i="39"/>
  <c r="J109" i="3"/>
  <c r="G112" i="11"/>
  <c r="D113" i="11"/>
  <c r="E113" i="11"/>
  <c r="J104" i="28"/>
  <c r="G108" i="23"/>
  <c r="D109" i="23"/>
  <c r="E109" i="23"/>
  <c r="G113" i="10"/>
  <c r="D114" i="10"/>
  <c r="E114" i="10"/>
  <c r="J105" i="27"/>
  <c r="J100" i="40"/>
  <c r="G109" i="22"/>
  <c r="D110" i="22"/>
  <c r="E110" i="22"/>
  <c r="G109" i="25"/>
  <c r="D110" i="25"/>
  <c r="E110" i="25"/>
  <c r="J101" i="37"/>
  <c r="J101" i="39"/>
  <c r="G101" i="40"/>
  <c r="D102" i="40"/>
  <c r="E102" i="40"/>
  <c r="J110" i="6"/>
  <c r="J111" i="11"/>
  <c r="G102" i="43"/>
  <c r="D103" i="43"/>
  <c r="E103" i="43"/>
  <c r="J110" i="8"/>
  <c r="J108" i="25"/>
  <c r="G105" i="28"/>
  <c r="D106" i="28"/>
  <c r="E106" i="28"/>
  <c r="G105" i="29"/>
  <c r="D106" i="29"/>
  <c r="E106" i="29"/>
  <c r="G113" i="7"/>
  <c r="D114" i="7"/>
  <c r="E114" i="7"/>
  <c r="G111" i="8"/>
  <c r="D112" i="8"/>
  <c r="E112" i="8"/>
  <c r="G106" i="27"/>
  <c r="D107" i="27"/>
  <c r="E107" i="27"/>
  <c r="J107" i="23"/>
  <c r="J109" i="4"/>
  <c r="J104" i="31"/>
  <c r="J112" i="7"/>
  <c r="G110" i="3"/>
  <c r="D111" i="3"/>
  <c r="E111" i="3"/>
  <c r="G110" i="4"/>
  <c r="D111" i="4"/>
  <c r="E111" i="4"/>
  <c r="J108" i="22"/>
  <c r="J103" i="30"/>
  <c r="G105" i="31"/>
  <c r="D106" i="31"/>
  <c r="E106" i="31"/>
  <c r="G104" i="30"/>
  <c r="D105" i="30"/>
  <c r="E105" i="30"/>
  <c r="I44" i="17"/>
  <c r="I18" i="17"/>
  <c r="D104" i="44" l="1"/>
  <c r="B104" i="44" s="1"/>
  <c r="J102" i="44"/>
  <c r="G103" i="44"/>
  <c r="I103" i="44" s="1"/>
  <c r="F104" i="44"/>
  <c r="D105" i="44" s="1"/>
  <c r="N88" i="45"/>
  <c r="J103" i="45"/>
  <c r="G104" i="45"/>
  <c r="D105" i="45"/>
  <c r="B105" i="45" s="1"/>
  <c r="E105" i="45"/>
  <c r="G103" i="42"/>
  <c r="H103" i="42" s="1"/>
  <c r="J102" i="38"/>
  <c r="J102" i="41"/>
  <c r="J102" i="42"/>
  <c r="G103" i="38"/>
  <c r="D104" i="38"/>
  <c r="E104" i="42"/>
  <c r="F104" i="42" s="1"/>
  <c r="B104" i="42"/>
  <c r="G103" i="41"/>
  <c r="D104" i="41"/>
  <c r="H105" i="31"/>
  <c r="I105" i="31"/>
  <c r="B106" i="28"/>
  <c r="F106" i="28"/>
  <c r="H101" i="40"/>
  <c r="I101" i="40"/>
  <c r="B109" i="23"/>
  <c r="F109" i="23"/>
  <c r="B103" i="39"/>
  <c r="F103" i="39"/>
  <c r="H102" i="37"/>
  <c r="I102" i="37"/>
  <c r="B108" i="24"/>
  <c r="F108" i="24"/>
  <c r="I112" i="9"/>
  <c r="H112" i="9"/>
  <c r="B111" i="3"/>
  <c r="F111" i="3"/>
  <c r="B111" i="4"/>
  <c r="F111" i="4"/>
  <c r="H110" i="3"/>
  <c r="I110" i="3"/>
  <c r="B107" i="27"/>
  <c r="F107" i="27"/>
  <c r="B114" i="7"/>
  <c r="F114" i="7"/>
  <c r="B106" i="29"/>
  <c r="F106" i="29"/>
  <c r="H105" i="28"/>
  <c r="I105" i="28"/>
  <c r="B103" i="43"/>
  <c r="F103" i="43"/>
  <c r="B110" i="22"/>
  <c r="F110" i="22"/>
  <c r="B114" i="10"/>
  <c r="F114" i="10"/>
  <c r="H108" i="23"/>
  <c r="I108" i="23"/>
  <c r="H102" i="39"/>
  <c r="I102" i="39"/>
  <c r="H107" i="24"/>
  <c r="I107" i="24"/>
  <c r="B112" i="6"/>
  <c r="F112" i="6"/>
  <c r="B105" i="30"/>
  <c r="F105" i="30"/>
  <c r="B106" i="31"/>
  <c r="F106" i="31"/>
  <c r="H110" i="4"/>
  <c r="I110" i="4"/>
  <c r="H106" i="27"/>
  <c r="I106" i="27"/>
  <c r="B112" i="8"/>
  <c r="F112" i="8"/>
  <c r="I113" i="7"/>
  <c r="H113" i="7"/>
  <c r="H105" i="29"/>
  <c r="I105" i="29"/>
  <c r="H102" i="43"/>
  <c r="I102" i="43"/>
  <c r="B110" i="25"/>
  <c r="F110" i="25"/>
  <c r="H109" i="22"/>
  <c r="I109" i="22"/>
  <c r="H113" i="10"/>
  <c r="I113" i="10"/>
  <c r="B113" i="11"/>
  <c r="F113" i="11"/>
  <c r="H111" i="6"/>
  <c r="I111" i="6"/>
  <c r="B111" i="5"/>
  <c r="F111" i="5"/>
  <c r="I104" i="30"/>
  <c r="H104" i="30"/>
  <c r="H111" i="8"/>
  <c r="I111" i="8"/>
  <c r="B102" i="40"/>
  <c r="F102" i="40"/>
  <c r="H109" i="25"/>
  <c r="I109" i="25"/>
  <c r="H112" i="11"/>
  <c r="I112" i="11"/>
  <c r="B103" i="37"/>
  <c r="F103" i="37"/>
  <c r="B113" i="9"/>
  <c r="F113" i="9"/>
  <c r="H110" i="5"/>
  <c r="I110" i="5"/>
  <c r="H103" i="44" l="1"/>
  <c r="M88" i="44" s="1"/>
  <c r="G104" i="44"/>
  <c r="H104" i="44" s="1"/>
  <c r="F105" i="45"/>
  <c r="G105" i="45" s="1"/>
  <c r="I104" i="44"/>
  <c r="E105" i="44"/>
  <c r="F105" i="44" s="1"/>
  <c r="B105" i="44"/>
  <c r="N88" i="44"/>
  <c r="J103" i="44"/>
  <c r="M89" i="44"/>
  <c r="N18" i="2"/>
  <c r="I104" i="45"/>
  <c r="H104" i="45"/>
  <c r="N89" i="45"/>
  <c r="O88" i="45"/>
  <c r="O89" i="45" s="1"/>
  <c r="I103" i="42"/>
  <c r="J103" i="42" s="1"/>
  <c r="I103" i="41"/>
  <c r="H103" i="41"/>
  <c r="G104" i="42"/>
  <c r="D105" i="42"/>
  <c r="E104" i="38"/>
  <c r="F104" i="38" s="1"/>
  <c r="B104" i="38"/>
  <c r="E104" i="41"/>
  <c r="F104" i="41" s="1"/>
  <c r="B104" i="41"/>
  <c r="H103" i="38"/>
  <c r="I103" i="38"/>
  <c r="G103" i="37"/>
  <c r="D104" i="37"/>
  <c r="E104" i="37"/>
  <c r="G113" i="11"/>
  <c r="D114" i="11"/>
  <c r="E114" i="11"/>
  <c r="J105" i="29"/>
  <c r="G112" i="8"/>
  <c r="D113" i="8"/>
  <c r="E113" i="8"/>
  <c r="G103" i="43"/>
  <c r="D104" i="43"/>
  <c r="E104" i="43"/>
  <c r="G106" i="29"/>
  <c r="D107" i="29"/>
  <c r="E107" i="29"/>
  <c r="G107" i="27"/>
  <c r="D108" i="27"/>
  <c r="E108" i="27"/>
  <c r="G111" i="4"/>
  <c r="D112" i="4"/>
  <c r="E112" i="4"/>
  <c r="J102" i="37"/>
  <c r="G106" i="28"/>
  <c r="D107" i="28"/>
  <c r="E107" i="28"/>
  <c r="J109" i="25"/>
  <c r="G111" i="5"/>
  <c r="D112" i="5"/>
  <c r="E112" i="5"/>
  <c r="J109" i="22"/>
  <c r="J110" i="4"/>
  <c r="G105" i="30"/>
  <c r="D106" i="30"/>
  <c r="E106" i="30"/>
  <c r="J107" i="24"/>
  <c r="J108" i="23"/>
  <c r="G110" i="22"/>
  <c r="D111" i="22"/>
  <c r="E111" i="22"/>
  <c r="G109" i="23"/>
  <c r="D110" i="23"/>
  <c r="E110" i="23"/>
  <c r="J101" i="40"/>
  <c r="J110" i="5"/>
  <c r="G113" i="9"/>
  <c r="D114" i="9"/>
  <c r="E114" i="9"/>
  <c r="J112" i="11"/>
  <c r="G102" i="40"/>
  <c r="D103" i="40"/>
  <c r="E103" i="40"/>
  <c r="J111" i="8"/>
  <c r="J104" i="30"/>
  <c r="J113" i="10"/>
  <c r="J102" i="43"/>
  <c r="J106" i="27"/>
  <c r="J105" i="28"/>
  <c r="G114" i="7"/>
  <c r="D115" i="7"/>
  <c r="E115" i="7"/>
  <c r="J110" i="3"/>
  <c r="G108" i="24"/>
  <c r="D109" i="24"/>
  <c r="E109" i="24"/>
  <c r="G103" i="39"/>
  <c r="D104" i="39"/>
  <c r="E104" i="39"/>
  <c r="J105" i="31"/>
  <c r="J111" i="6"/>
  <c r="G110" i="25"/>
  <c r="D111" i="25"/>
  <c r="E111" i="25"/>
  <c r="J113" i="7"/>
  <c r="G106" i="31"/>
  <c r="D107" i="31"/>
  <c r="E107" i="31"/>
  <c r="G112" i="6"/>
  <c r="D113" i="6"/>
  <c r="E113" i="6"/>
  <c r="J102" i="39"/>
  <c r="G114" i="10"/>
  <c r="D115" i="10"/>
  <c r="E115" i="10"/>
  <c r="G111" i="3"/>
  <c r="D112" i="3"/>
  <c r="E112" i="3"/>
  <c r="J112" i="9"/>
  <c r="I43" i="17"/>
  <c r="E106" i="45" l="1"/>
  <c r="D106" i="45"/>
  <c r="B106" i="45" s="1"/>
  <c r="I47" i="17"/>
  <c r="J104" i="44"/>
  <c r="J104" i="45"/>
  <c r="R134" i="2"/>
  <c r="N19" i="2"/>
  <c r="N20" i="2" s="1"/>
  <c r="G105" i="44"/>
  <c r="D106" i="44"/>
  <c r="H105" i="45"/>
  <c r="I105" i="45"/>
  <c r="O88" i="44"/>
  <c r="O89" i="44" s="1"/>
  <c r="N89" i="44"/>
  <c r="O18" i="2"/>
  <c r="F106" i="45"/>
  <c r="J103" i="38"/>
  <c r="D105" i="41"/>
  <c r="G104" i="41"/>
  <c r="D105" i="38"/>
  <c r="G104" i="38"/>
  <c r="E105" i="38"/>
  <c r="I104" i="42"/>
  <c r="H104" i="42"/>
  <c r="E105" i="42"/>
  <c r="F105" i="42" s="1"/>
  <c r="B105" i="42"/>
  <c r="J103" i="41"/>
  <c r="B111" i="25"/>
  <c r="F111" i="25"/>
  <c r="B104" i="39"/>
  <c r="F104" i="39"/>
  <c r="H108" i="24"/>
  <c r="I108" i="24"/>
  <c r="H109" i="23"/>
  <c r="I109" i="23"/>
  <c r="H110" i="22"/>
  <c r="I110" i="22"/>
  <c r="B107" i="28"/>
  <c r="F107" i="28"/>
  <c r="B108" i="27"/>
  <c r="F108" i="27"/>
  <c r="I106" i="29"/>
  <c r="H106" i="29"/>
  <c r="H113" i="11"/>
  <c r="I113" i="11"/>
  <c r="B112" i="3"/>
  <c r="F112" i="3"/>
  <c r="I111" i="3"/>
  <c r="H111" i="3"/>
  <c r="B115" i="10"/>
  <c r="F115" i="10"/>
  <c r="B107" i="31"/>
  <c r="F107" i="31"/>
  <c r="H110" i="25"/>
  <c r="I110" i="25"/>
  <c r="I103" i="39"/>
  <c r="H103" i="39"/>
  <c r="B115" i="7"/>
  <c r="F115" i="7"/>
  <c r="B103" i="40"/>
  <c r="F103" i="40"/>
  <c r="H106" i="28"/>
  <c r="I106" i="28"/>
  <c r="B112" i="4"/>
  <c r="F112" i="4"/>
  <c r="H107" i="27"/>
  <c r="I107" i="27"/>
  <c r="H114" i="10"/>
  <c r="I114" i="10"/>
  <c r="B113" i="6"/>
  <c r="F113" i="6"/>
  <c r="I106" i="31"/>
  <c r="H106" i="31"/>
  <c r="H114" i="7"/>
  <c r="I114" i="7"/>
  <c r="H102" i="40"/>
  <c r="I102" i="40"/>
  <c r="B114" i="9"/>
  <c r="F114" i="9"/>
  <c r="B106" i="30"/>
  <c r="F106" i="30"/>
  <c r="B112" i="5"/>
  <c r="F112" i="5"/>
  <c r="H111" i="4"/>
  <c r="I111" i="4"/>
  <c r="B104" i="43"/>
  <c r="F104" i="43"/>
  <c r="B113" i="8"/>
  <c r="F113" i="8"/>
  <c r="B104" i="37"/>
  <c r="F104" i="37"/>
  <c r="H112" i="6"/>
  <c r="I112" i="6"/>
  <c r="B109" i="24"/>
  <c r="F109" i="24"/>
  <c r="H113" i="9"/>
  <c r="I113" i="9"/>
  <c r="B110" i="23"/>
  <c r="F110" i="23"/>
  <c r="B111" i="22"/>
  <c r="F111" i="22"/>
  <c r="I105" i="30"/>
  <c r="H105" i="30"/>
  <c r="H111" i="5"/>
  <c r="I111" i="5"/>
  <c r="B107" i="29"/>
  <c r="F107" i="29"/>
  <c r="H103" i="43"/>
  <c r="I103" i="43"/>
  <c r="H112" i="8"/>
  <c r="I112" i="8"/>
  <c r="B114" i="11"/>
  <c r="F114" i="11"/>
  <c r="H103" i="37"/>
  <c r="I103" i="37"/>
  <c r="J105" i="45" l="1"/>
  <c r="E106" i="44"/>
  <c r="F106" i="44" s="1"/>
  <c r="B106" i="44"/>
  <c r="H105" i="44"/>
  <c r="I105" i="44"/>
  <c r="D107" i="45"/>
  <c r="B107" i="45" s="1"/>
  <c r="G106" i="45"/>
  <c r="E107" i="45"/>
  <c r="R135" i="2"/>
  <c r="O19" i="2"/>
  <c r="O20" i="2" s="1"/>
  <c r="P18" i="2"/>
  <c r="P19" i="2" s="1"/>
  <c r="P20" i="2" s="1"/>
  <c r="G105" i="42"/>
  <c r="D106" i="42"/>
  <c r="H104" i="38"/>
  <c r="I104" i="38"/>
  <c r="B105" i="38"/>
  <c r="F105" i="38"/>
  <c r="J104" i="42"/>
  <c r="I104" i="41"/>
  <c r="H104" i="41"/>
  <c r="E105" i="41"/>
  <c r="F105" i="41" s="1"/>
  <c r="B105" i="41"/>
  <c r="G113" i="8"/>
  <c r="D114" i="8"/>
  <c r="E114" i="8"/>
  <c r="J112" i="8"/>
  <c r="J113" i="9"/>
  <c r="J103" i="39"/>
  <c r="J110" i="25"/>
  <c r="J111" i="3"/>
  <c r="J108" i="24"/>
  <c r="J111" i="4"/>
  <c r="J103" i="37"/>
  <c r="G107" i="29"/>
  <c r="D108" i="29"/>
  <c r="E108" i="29"/>
  <c r="G106" i="30"/>
  <c r="D107" i="30"/>
  <c r="E107" i="30"/>
  <c r="G110" i="23"/>
  <c r="D111" i="23"/>
  <c r="E111" i="23"/>
  <c r="G109" i="24"/>
  <c r="D110" i="24"/>
  <c r="E110" i="24"/>
  <c r="G104" i="37"/>
  <c r="D105" i="37"/>
  <c r="E105" i="37"/>
  <c r="G104" i="43"/>
  <c r="D105" i="43"/>
  <c r="E105" i="43"/>
  <c r="J102" i="40"/>
  <c r="J114" i="10"/>
  <c r="J107" i="27"/>
  <c r="J106" i="28"/>
  <c r="G103" i="40"/>
  <c r="D104" i="40"/>
  <c r="E104" i="40"/>
  <c r="G115" i="7"/>
  <c r="D116" i="7"/>
  <c r="E116" i="7"/>
  <c r="G115" i="10"/>
  <c r="D116" i="10"/>
  <c r="E116" i="10"/>
  <c r="G112" i="3"/>
  <c r="D113" i="3"/>
  <c r="E113" i="3"/>
  <c r="G107" i="28"/>
  <c r="D108" i="28"/>
  <c r="E108" i="28"/>
  <c r="J110" i="22"/>
  <c r="G111" i="25"/>
  <c r="D112" i="25"/>
  <c r="E112" i="25"/>
  <c r="G111" i="22"/>
  <c r="D112" i="22"/>
  <c r="E112" i="22"/>
  <c r="G114" i="11"/>
  <c r="D115" i="11"/>
  <c r="E115" i="11"/>
  <c r="J103" i="43"/>
  <c r="J105" i="30"/>
  <c r="G112" i="5"/>
  <c r="D113" i="5"/>
  <c r="E113" i="5"/>
  <c r="J106" i="31"/>
  <c r="J106" i="29"/>
  <c r="G104" i="39"/>
  <c r="D105" i="39"/>
  <c r="E105" i="39"/>
  <c r="J111" i="5"/>
  <c r="J112" i="6"/>
  <c r="G114" i="9"/>
  <c r="D115" i="9"/>
  <c r="E115" i="9"/>
  <c r="J114" i="7"/>
  <c r="G113" i="6"/>
  <c r="D114" i="6"/>
  <c r="E114" i="6"/>
  <c r="G112" i="4"/>
  <c r="D113" i="4"/>
  <c r="E113" i="4"/>
  <c r="G107" i="31"/>
  <c r="D108" i="31"/>
  <c r="E108" i="31"/>
  <c r="J113" i="11"/>
  <c r="G108" i="27"/>
  <c r="D109" i="27"/>
  <c r="E109" i="27"/>
  <c r="J109" i="23"/>
  <c r="F107" i="45" l="1"/>
  <c r="J104" i="38"/>
  <c r="D108" i="45"/>
  <c r="B108" i="45" s="1"/>
  <c r="G107" i="45"/>
  <c r="E108" i="45"/>
  <c r="J104" i="41"/>
  <c r="I106" i="45"/>
  <c r="H106" i="45"/>
  <c r="D107" i="44"/>
  <c r="G106" i="44"/>
  <c r="J105" i="44"/>
  <c r="D106" i="41"/>
  <c r="G105" i="41"/>
  <c r="D106" i="38"/>
  <c r="G105" i="38"/>
  <c r="E106" i="42"/>
  <c r="F106" i="42" s="1"/>
  <c r="B106" i="42"/>
  <c r="I105" i="42"/>
  <c r="H105" i="42"/>
  <c r="B109" i="27"/>
  <c r="F109" i="27"/>
  <c r="B108" i="31"/>
  <c r="F108" i="31"/>
  <c r="H112" i="4"/>
  <c r="I112" i="4"/>
  <c r="H114" i="9"/>
  <c r="I114" i="9"/>
  <c r="H112" i="5"/>
  <c r="I112" i="5"/>
  <c r="B112" i="25"/>
  <c r="F112" i="25"/>
  <c r="B113" i="3"/>
  <c r="F113" i="3"/>
  <c r="H115" i="10"/>
  <c r="I115" i="10"/>
  <c r="B105" i="43"/>
  <c r="F105" i="43"/>
  <c r="I104" i="37"/>
  <c r="H104" i="37"/>
  <c r="B107" i="30"/>
  <c r="F107" i="30"/>
  <c r="H107" i="29"/>
  <c r="I107" i="29"/>
  <c r="I108" i="27"/>
  <c r="H108" i="27"/>
  <c r="H107" i="31"/>
  <c r="I107" i="31"/>
  <c r="B112" i="22"/>
  <c r="F112" i="22"/>
  <c r="H111" i="25"/>
  <c r="I111" i="25"/>
  <c r="B108" i="28"/>
  <c r="F108" i="28"/>
  <c r="H112" i="3"/>
  <c r="I112" i="3"/>
  <c r="B104" i="40"/>
  <c r="F104" i="40"/>
  <c r="I104" i="43"/>
  <c r="H104" i="43"/>
  <c r="B111" i="23"/>
  <c r="F111" i="23"/>
  <c r="H106" i="30"/>
  <c r="I106" i="30"/>
  <c r="B114" i="6"/>
  <c r="F114" i="6"/>
  <c r="B105" i="39"/>
  <c r="F105" i="39"/>
  <c r="B115" i="11"/>
  <c r="F115" i="11"/>
  <c r="H111" i="22"/>
  <c r="I111" i="22"/>
  <c r="H107" i="28"/>
  <c r="I107" i="28"/>
  <c r="B116" i="7"/>
  <c r="F116" i="7"/>
  <c r="H103" i="40"/>
  <c r="I103" i="40"/>
  <c r="B110" i="24"/>
  <c r="F110" i="24"/>
  <c r="H110" i="23"/>
  <c r="I110" i="23"/>
  <c r="B114" i="8"/>
  <c r="F114" i="8"/>
  <c r="B113" i="4"/>
  <c r="F113" i="4"/>
  <c r="H113" i="6"/>
  <c r="I113" i="6"/>
  <c r="B115" i="9"/>
  <c r="F115" i="9"/>
  <c r="H104" i="39"/>
  <c r="I104" i="39"/>
  <c r="B113" i="5"/>
  <c r="F113" i="5"/>
  <c r="H114" i="11"/>
  <c r="I114" i="11"/>
  <c r="B116" i="10"/>
  <c r="F116" i="10"/>
  <c r="H115" i="7"/>
  <c r="I115" i="7"/>
  <c r="B105" i="37"/>
  <c r="F105" i="37"/>
  <c r="H109" i="24"/>
  <c r="I109" i="24"/>
  <c r="B108" i="29"/>
  <c r="F108" i="29"/>
  <c r="H113" i="8"/>
  <c r="I113" i="8"/>
  <c r="F108" i="45" l="1"/>
  <c r="G108" i="45" s="1"/>
  <c r="J106" i="45"/>
  <c r="J105" i="42"/>
  <c r="H106" i="44"/>
  <c r="I106" i="44"/>
  <c r="E107" i="44"/>
  <c r="F107" i="44" s="1"/>
  <c r="B107" i="44"/>
  <c r="E109" i="45"/>
  <c r="H107" i="45"/>
  <c r="I107" i="45"/>
  <c r="I105" i="38"/>
  <c r="H105" i="38"/>
  <c r="D107" i="42"/>
  <c r="G106" i="42"/>
  <c r="E106" i="38"/>
  <c r="F106" i="38" s="1"/>
  <c r="B106" i="38"/>
  <c r="H105" i="41"/>
  <c r="I105" i="41"/>
  <c r="E106" i="41"/>
  <c r="F106" i="41" s="1"/>
  <c r="B106" i="41"/>
  <c r="J113" i="8"/>
  <c r="J109" i="24"/>
  <c r="J115" i="7"/>
  <c r="J114" i="11"/>
  <c r="J104" i="39"/>
  <c r="J113" i="6"/>
  <c r="G114" i="8"/>
  <c r="D115" i="8"/>
  <c r="E115" i="8"/>
  <c r="G110" i="24"/>
  <c r="D111" i="24"/>
  <c r="E111" i="24"/>
  <c r="G116" i="7"/>
  <c r="D117" i="7"/>
  <c r="E117" i="7"/>
  <c r="J111" i="22"/>
  <c r="G105" i="39"/>
  <c r="D106" i="39"/>
  <c r="E106" i="39"/>
  <c r="J106" i="30"/>
  <c r="J112" i="3"/>
  <c r="J111" i="25"/>
  <c r="J107" i="31"/>
  <c r="J107" i="29"/>
  <c r="J115" i="10"/>
  <c r="G112" i="25"/>
  <c r="D113" i="25"/>
  <c r="E113" i="25"/>
  <c r="J114" i="9"/>
  <c r="G108" i="31"/>
  <c r="D109" i="31"/>
  <c r="E109" i="31"/>
  <c r="J104" i="43"/>
  <c r="J104" i="37"/>
  <c r="G108" i="29"/>
  <c r="D109" i="29"/>
  <c r="E109" i="29"/>
  <c r="G105" i="37"/>
  <c r="D106" i="37"/>
  <c r="E106" i="37"/>
  <c r="G116" i="10"/>
  <c r="D117" i="10"/>
  <c r="E117" i="10"/>
  <c r="G113" i="5"/>
  <c r="D114" i="5"/>
  <c r="E114" i="5"/>
  <c r="G115" i="9"/>
  <c r="D116" i="9"/>
  <c r="E116" i="9"/>
  <c r="G113" i="4"/>
  <c r="D114" i="4"/>
  <c r="E114" i="4"/>
  <c r="J110" i="23"/>
  <c r="J103" i="40"/>
  <c r="J107" i="28"/>
  <c r="G115" i="11"/>
  <c r="D116" i="11"/>
  <c r="E116" i="11"/>
  <c r="G114" i="6"/>
  <c r="D115" i="6"/>
  <c r="E115" i="6"/>
  <c r="G111" i="23"/>
  <c r="D112" i="23"/>
  <c r="E112" i="23"/>
  <c r="G104" i="40"/>
  <c r="D105" i="40"/>
  <c r="E105" i="40"/>
  <c r="G108" i="28"/>
  <c r="D109" i="28"/>
  <c r="E109" i="28"/>
  <c r="G112" i="22"/>
  <c r="D113" i="22"/>
  <c r="E113" i="22"/>
  <c r="G107" i="30"/>
  <c r="D108" i="30"/>
  <c r="E108" i="30"/>
  <c r="G105" i="43"/>
  <c r="D106" i="43"/>
  <c r="E106" i="43"/>
  <c r="G113" i="3"/>
  <c r="D114" i="3"/>
  <c r="E114" i="3"/>
  <c r="J112" i="5"/>
  <c r="J112" i="4"/>
  <c r="G109" i="27"/>
  <c r="D110" i="27"/>
  <c r="E110" i="27"/>
  <c r="J108" i="27"/>
  <c r="D109" i="45" l="1"/>
  <c r="J106" i="44"/>
  <c r="B109" i="45"/>
  <c r="F109" i="45"/>
  <c r="D108" i="44"/>
  <c r="G107" i="44"/>
  <c r="J107" i="45"/>
  <c r="I108" i="45"/>
  <c r="H108" i="45"/>
  <c r="H106" i="42"/>
  <c r="I106" i="42"/>
  <c r="D107" i="41"/>
  <c r="G106" i="41"/>
  <c r="D107" i="38"/>
  <c r="G106" i="38"/>
  <c r="E107" i="42"/>
  <c r="F107" i="42" s="1"/>
  <c r="B107" i="42"/>
  <c r="J105" i="41"/>
  <c r="J105" i="38"/>
  <c r="B114" i="3"/>
  <c r="F114" i="3"/>
  <c r="B109" i="28"/>
  <c r="F109" i="28"/>
  <c r="H104" i="40"/>
  <c r="I104" i="40"/>
  <c r="B116" i="11"/>
  <c r="F116" i="11"/>
  <c r="B116" i="9"/>
  <c r="F116" i="9"/>
  <c r="H113" i="5"/>
  <c r="I113" i="5"/>
  <c r="B109" i="29"/>
  <c r="F109" i="29"/>
  <c r="H108" i="31"/>
  <c r="I108" i="31"/>
  <c r="B113" i="25"/>
  <c r="F113" i="25"/>
  <c r="H105" i="39"/>
  <c r="I105" i="39"/>
  <c r="B117" i="7"/>
  <c r="F117" i="7"/>
  <c r="I110" i="24"/>
  <c r="H110" i="24"/>
  <c r="I105" i="43"/>
  <c r="H105" i="43"/>
  <c r="B110" i="27"/>
  <c r="F110" i="27"/>
  <c r="I113" i="3"/>
  <c r="H113" i="3"/>
  <c r="B113" i="22"/>
  <c r="F113" i="22"/>
  <c r="H108" i="28"/>
  <c r="I108" i="28"/>
  <c r="B115" i="6"/>
  <c r="F115" i="6"/>
  <c r="H115" i="11"/>
  <c r="I115" i="11"/>
  <c r="B114" i="4"/>
  <c r="F114" i="4"/>
  <c r="H115" i="9"/>
  <c r="I115" i="9"/>
  <c r="B106" i="37"/>
  <c r="F106" i="37"/>
  <c r="H108" i="29"/>
  <c r="I108" i="29"/>
  <c r="H112" i="25"/>
  <c r="I112" i="25"/>
  <c r="H116" i="7"/>
  <c r="I116" i="7"/>
  <c r="H109" i="27"/>
  <c r="I109" i="27"/>
  <c r="B108" i="30"/>
  <c r="F108" i="30"/>
  <c r="H112" i="22"/>
  <c r="I112" i="22"/>
  <c r="B112" i="23"/>
  <c r="F112" i="23"/>
  <c r="H114" i="6"/>
  <c r="I114" i="6"/>
  <c r="H113" i="4"/>
  <c r="I113" i="4"/>
  <c r="B117" i="10"/>
  <c r="F117" i="10"/>
  <c r="H105" i="37"/>
  <c r="I105" i="37"/>
  <c r="B115" i="8"/>
  <c r="F115" i="8"/>
  <c r="B106" i="43"/>
  <c r="F106" i="43"/>
  <c r="H107" i="30"/>
  <c r="I107" i="30"/>
  <c r="B105" i="40"/>
  <c r="F105" i="40"/>
  <c r="H111" i="23"/>
  <c r="I111" i="23"/>
  <c r="B114" i="5"/>
  <c r="F114" i="5"/>
  <c r="H116" i="10"/>
  <c r="I116" i="10"/>
  <c r="B109" i="31"/>
  <c r="F109" i="31"/>
  <c r="B106" i="39"/>
  <c r="F106" i="39"/>
  <c r="B111" i="24"/>
  <c r="F111" i="24"/>
  <c r="H114" i="8"/>
  <c r="I114" i="8"/>
  <c r="E108" i="44" l="1"/>
  <c r="F108" i="44" s="1"/>
  <c r="B108" i="44"/>
  <c r="H107" i="44"/>
  <c r="I107" i="44"/>
  <c r="J108" i="45"/>
  <c r="G109" i="45"/>
  <c r="D110" i="45"/>
  <c r="B110" i="45" s="1"/>
  <c r="E110" i="45"/>
  <c r="J106" i="42"/>
  <c r="G107" i="42"/>
  <c r="D108" i="42"/>
  <c r="I106" i="41"/>
  <c r="H106" i="41"/>
  <c r="E107" i="41"/>
  <c r="F107" i="41" s="1"/>
  <c r="B107" i="41"/>
  <c r="H106" i="38"/>
  <c r="I106" i="38"/>
  <c r="E107" i="38"/>
  <c r="F107" i="38" s="1"/>
  <c r="B107" i="38"/>
  <c r="J114" i="8"/>
  <c r="J116" i="10"/>
  <c r="J105" i="39"/>
  <c r="J113" i="3"/>
  <c r="J105" i="43"/>
  <c r="G106" i="39"/>
  <c r="D107" i="39"/>
  <c r="E107" i="39"/>
  <c r="J111" i="23"/>
  <c r="J107" i="30"/>
  <c r="G115" i="8"/>
  <c r="D116" i="8"/>
  <c r="E116" i="8"/>
  <c r="G117" i="10"/>
  <c r="D118" i="10"/>
  <c r="E118" i="10"/>
  <c r="J114" i="6"/>
  <c r="J112" i="22"/>
  <c r="J109" i="27"/>
  <c r="J112" i="25"/>
  <c r="G106" i="37"/>
  <c r="D107" i="37"/>
  <c r="E107" i="37"/>
  <c r="G114" i="4"/>
  <c r="D115" i="4"/>
  <c r="E115" i="4"/>
  <c r="G115" i="6"/>
  <c r="D116" i="6"/>
  <c r="E116" i="6"/>
  <c r="G113" i="22"/>
  <c r="D114" i="22"/>
  <c r="E114" i="22"/>
  <c r="G110" i="27"/>
  <c r="D111" i="27"/>
  <c r="E111" i="27"/>
  <c r="J108" i="31"/>
  <c r="J113" i="5"/>
  <c r="G116" i="11"/>
  <c r="D117" i="11"/>
  <c r="E117" i="11"/>
  <c r="G109" i="28"/>
  <c r="D110" i="28"/>
  <c r="E110" i="28"/>
  <c r="J110" i="24"/>
  <c r="G111" i="24"/>
  <c r="D112" i="24"/>
  <c r="E112" i="24"/>
  <c r="G109" i="31"/>
  <c r="D110" i="31"/>
  <c r="E110" i="31"/>
  <c r="G114" i="5"/>
  <c r="D115" i="5"/>
  <c r="E115" i="5"/>
  <c r="G105" i="40"/>
  <c r="D106" i="40"/>
  <c r="E106" i="40"/>
  <c r="G106" i="43"/>
  <c r="D107" i="43"/>
  <c r="E107" i="43"/>
  <c r="J105" i="37"/>
  <c r="J113" i="4"/>
  <c r="G112" i="23"/>
  <c r="D113" i="23"/>
  <c r="E113" i="23"/>
  <c r="G108" i="30"/>
  <c r="D109" i="30"/>
  <c r="E109" i="30"/>
  <c r="J116" i="7"/>
  <c r="J108" i="29"/>
  <c r="J115" i="9"/>
  <c r="J115" i="11"/>
  <c r="J108" i="28"/>
  <c r="G117" i="7"/>
  <c r="D118" i="7"/>
  <c r="E118" i="7"/>
  <c r="G113" i="25"/>
  <c r="D114" i="25"/>
  <c r="E114" i="25"/>
  <c r="G109" i="29"/>
  <c r="D110" i="29"/>
  <c r="E110" i="29"/>
  <c r="G116" i="9"/>
  <c r="D117" i="9"/>
  <c r="E117" i="9"/>
  <c r="J104" i="40"/>
  <c r="G114" i="3"/>
  <c r="D115" i="3"/>
  <c r="E115" i="3"/>
  <c r="H109" i="45" l="1"/>
  <c r="I109" i="45"/>
  <c r="D109" i="44"/>
  <c r="G108" i="44"/>
  <c r="F110" i="45"/>
  <c r="J107" i="44"/>
  <c r="J106" i="41"/>
  <c r="G107" i="38"/>
  <c r="D108" i="38"/>
  <c r="G107" i="41"/>
  <c r="D108" i="41"/>
  <c r="E108" i="42"/>
  <c r="F108" i="42" s="1"/>
  <c r="B108" i="42"/>
  <c r="J106" i="38"/>
  <c r="H107" i="42"/>
  <c r="I107" i="42"/>
  <c r="B115" i="3"/>
  <c r="F115" i="3"/>
  <c r="H114" i="3"/>
  <c r="I114" i="3"/>
  <c r="H116" i="9"/>
  <c r="I116" i="9"/>
  <c r="B114" i="25"/>
  <c r="F114" i="25"/>
  <c r="H117" i="7"/>
  <c r="I117" i="7"/>
  <c r="H108" i="30"/>
  <c r="I108" i="30"/>
  <c r="I106" i="43"/>
  <c r="H106" i="43"/>
  <c r="B110" i="31"/>
  <c r="F110" i="31"/>
  <c r="H111" i="24"/>
  <c r="I111" i="24"/>
  <c r="H109" i="28"/>
  <c r="I109" i="28"/>
  <c r="I110" i="27"/>
  <c r="H110" i="27"/>
  <c r="B115" i="4"/>
  <c r="F115" i="4"/>
  <c r="H106" i="37"/>
  <c r="I106" i="37"/>
  <c r="B110" i="29"/>
  <c r="F110" i="29"/>
  <c r="H113" i="25"/>
  <c r="I113" i="25"/>
  <c r="B115" i="5"/>
  <c r="F115" i="5"/>
  <c r="H109" i="31"/>
  <c r="I109" i="31"/>
  <c r="B116" i="6"/>
  <c r="F116" i="6"/>
  <c r="H114" i="4"/>
  <c r="I114" i="4"/>
  <c r="B116" i="8"/>
  <c r="F116" i="8"/>
  <c r="B117" i="9"/>
  <c r="F117" i="9"/>
  <c r="H109" i="29"/>
  <c r="I109" i="29"/>
  <c r="B113" i="23"/>
  <c r="F113" i="23"/>
  <c r="B106" i="40"/>
  <c r="F106" i="40"/>
  <c r="H114" i="5"/>
  <c r="I114" i="5"/>
  <c r="B117" i="11"/>
  <c r="F117" i="11"/>
  <c r="B114" i="22"/>
  <c r="F114" i="22"/>
  <c r="I115" i="6"/>
  <c r="H115" i="6"/>
  <c r="B118" i="10"/>
  <c r="F118" i="10"/>
  <c r="I115" i="8"/>
  <c r="H115" i="8"/>
  <c r="B107" i="39"/>
  <c r="F107" i="39"/>
  <c r="B118" i="7"/>
  <c r="F118" i="7"/>
  <c r="B109" i="30"/>
  <c r="F109" i="30"/>
  <c r="I112" i="23"/>
  <c r="H112" i="23"/>
  <c r="B107" i="43"/>
  <c r="F107" i="43"/>
  <c r="H105" i="40"/>
  <c r="I105" i="40"/>
  <c r="B112" i="24"/>
  <c r="F112" i="24"/>
  <c r="B110" i="28"/>
  <c r="F110" i="28"/>
  <c r="H116" i="11"/>
  <c r="I116" i="11"/>
  <c r="B111" i="27"/>
  <c r="F111" i="27"/>
  <c r="H113" i="22"/>
  <c r="I113" i="22"/>
  <c r="B107" i="37"/>
  <c r="F107" i="37"/>
  <c r="H117" i="10"/>
  <c r="I117" i="10"/>
  <c r="H106" i="39"/>
  <c r="I106" i="39"/>
  <c r="I108" i="44" l="1"/>
  <c r="H108" i="44"/>
  <c r="E109" i="44"/>
  <c r="F109" i="44" s="1"/>
  <c r="B109" i="44"/>
  <c r="J109" i="45"/>
  <c r="G110" i="45"/>
  <c r="D111" i="45"/>
  <c r="B111" i="45" s="1"/>
  <c r="E111" i="45"/>
  <c r="G108" i="42"/>
  <c r="D109" i="42"/>
  <c r="E108" i="41"/>
  <c r="F108" i="41" s="1"/>
  <c r="B108" i="41"/>
  <c r="H107" i="41"/>
  <c r="I107" i="41"/>
  <c r="J114" i="3"/>
  <c r="J107" i="42"/>
  <c r="E108" i="38"/>
  <c r="F108" i="38" s="1"/>
  <c r="B108" i="38"/>
  <c r="I107" i="38"/>
  <c r="H107" i="38"/>
  <c r="J110" i="27"/>
  <c r="J106" i="43"/>
  <c r="J112" i="23"/>
  <c r="J115" i="8"/>
  <c r="J115" i="6"/>
  <c r="J106" i="39"/>
  <c r="G107" i="37"/>
  <c r="D108" i="37"/>
  <c r="E108" i="37"/>
  <c r="G111" i="27"/>
  <c r="D112" i="27"/>
  <c r="E112" i="27"/>
  <c r="G110" i="28"/>
  <c r="D111" i="28"/>
  <c r="E111" i="28"/>
  <c r="J105" i="40"/>
  <c r="G118" i="7"/>
  <c r="D119" i="7"/>
  <c r="E119" i="7"/>
  <c r="G117" i="11"/>
  <c r="D118" i="11"/>
  <c r="E118" i="11"/>
  <c r="G106" i="40"/>
  <c r="D107" i="40"/>
  <c r="E107" i="40"/>
  <c r="J109" i="29"/>
  <c r="G116" i="8"/>
  <c r="D117" i="8"/>
  <c r="E117" i="8"/>
  <c r="G116" i="6"/>
  <c r="D117" i="6"/>
  <c r="E117" i="6"/>
  <c r="G115" i="5"/>
  <c r="D116" i="5"/>
  <c r="E116" i="5"/>
  <c r="G110" i="29"/>
  <c r="D111" i="29"/>
  <c r="E111" i="29"/>
  <c r="G115" i="4"/>
  <c r="D116" i="4"/>
  <c r="E116" i="4"/>
  <c r="J109" i="28"/>
  <c r="G110" i="31"/>
  <c r="D111" i="31"/>
  <c r="E111" i="31"/>
  <c r="J108" i="30"/>
  <c r="G114" i="25"/>
  <c r="D115" i="25"/>
  <c r="E115" i="25"/>
  <c r="J117" i="10"/>
  <c r="J113" i="22"/>
  <c r="J116" i="11"/>
  <c r="G112" i="24"/>
  <c r="D113" i="24"/>
  <c r="E113" i="24"/>
  <c r="G107" i="43"/>
  <c r="D108" i="43"/>
  <c r="E108" i="43"/>
  <c r="G109" i="30"/>
  <c r="D110" i="30"/>
  <c r="E110" i="30"/>
  <c r="G107" i="39"/>
  <c r="D108" i="39"/>
  <c r="E108" i="39"/>
  <c r="G118" i="10"/>
  <c r="D119" i="10"/>
  <c r="E119" i="10"/>
  <c r="G114" i="22"/>
  <c r="D115" i="22"/>
  <c r="E115" i="22"/>
  <c r="J114" i="5"/>
  <c r="G113" i="23"/>
  <c r="D114" i="23"/>
  <c r="E114" i="23"/>
  <c r="G117" i="9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H110" i="45" l="1"/>
  <c r="I110" i="45"/>
  <c r="D110" i="44"/>
  <c r="G109" i="44"/>
  <c r="F111" i="45"/>
  <c r="J108" i="44"/>
  <c r="J107" i="41"/>
  <c r="D109" i="41"/>
  <c r="B109" i="41" s="1"/>
  <c r="G108" i="41"/>
  <c r="E109" i="41"/>
  <c r="G108" i="38"/>
  <c r="D109" i="38"/>
  <c r="E109" i="42"/>
  <c r="F109" i="42" s="1"/>
  <c r="B109" i="42"/>
  <c r="J107" i="38"/>
  <c r="I108" i="42"/>
  <c r="H108" i="42"/>
  <c r="H115" i="3"/>
  <c r="I115" i="3"/>
  <c r="B114" i="23"/>
  <c r="F114" i="23"/>
  <c r="B115" i="22"/>
  <c r="F115" i="22"/>
  <c r="H118" i="10"/>
  <c r="I118" i="10"/>
  <c r="B108" i="43"/>
  <c r="F108" i="43"/>
  <c r="I112" i="24"/>
  <c r="H112" i="24"/>
  <c r="B111" i="29"/>
  <c r="F111" i="29"/>
  <c r="H115" i="5"/>
  <c r="I115" i="5"/>
  <c r="B118" i="11"/>
  <c r="F118" i="11"/>
  <c r="I118" i="7"/>
  <c r="H118" i="7"/>
  <c r="H110" i="28"/>
  <c r="I110" i="28"/>
  <c r="H113" i="23"/>
  <c r="I113" i="23"/>
  <c r="B110" i="30"/>
  <c r="F110" i="30"/>
  <c r="H107" i="43"/>
  <c r="I107" i="43"/>
  <c r="B115" i="25"/>
  <c r="F115" i="25"/>
  <c r="B111" i="31"/>
  <c r="F111" i="31"/>
  <c r="B116" i="4"/>
  <c r="F116" i="4"/>
  <c r="H110" i="29"/>
  <c r="I110" i="29"/>
  <c r="B117" i="8"/>
  <c r="F117" i="8"/>
  <c r="B107" i="40"/>
  <c r="F107" i="40"/>
  <c r="I117" i="11"/>
  <c r="H117" i="11"/>
  <c r="B108" i="37"/>
  <c r="F108" i="37"/>
  <c r="B118" i="9"/>
  <c r="F118" i="9"/>
  <c r="H114" i="22"/>
  <c r="I114" i="22"/>
  <c r="H117" i="9"/>
  <c r="I117" i="9"/>
  <c r="B108" i="39"/>
  <c r="F108" i="39"/>
  <c r="I109" i="30"/>
  <c r="H109" i="30"/>
  <c r="H114" i="25"/>
  <c r="I114" i="25"/>
  <c r="H110" i="31"/>
  <c r="I110" i="31"/>
  <c r="H115" i="4"/>
  <c r="I115" i="4"/>
  <c r="B117" i="6"/>
  <c r="F117" i="6"/>
  <c r="H116" i="8"/>
  <c r="I116" i="8"/>
  <c r="H106" i="40"/>
  <c r="I106" i="40"/>
  <c r="B112" i="27"/>
  <c r="F112" i="27"/>
  <c r="H107" i="37"/>
  <c r="I107" i="37"/>
  <c r="B116" i="3"/>
  <c r="F116" i="3"/>
  <c r="B119" i="10"/>
  <c r="F119" i="10"/>
  <c r="H107" i="39"/>
  <c r="I107" i="39"/>
  <c r="B113" i="24"/>
  <c r="F113" i="24"/>
  <c r="B116" i="5"/>
  <c r="F116" i="5"/>
  <c r="H116" i="6"/>
  <c r="I116" i="6"/>
  <c r="B119" i="7"/>
  <c r="F119" i="7"/>
  <c r="B111" i="28"/>
  <c r="F111" i="28"/>
  <c r="H111" i="27"/>
  <c r="I111" i="27"/>
  <c r="I109" i="44" l="1"/>
  <c r="H109" i="44"/>
  <c r="E110" i="44"/>
  <c r="F110" i="44" s="1"/>
  <c r="B110" i="44"/>
  <c r="F109" i="41"/>
  <c r="D110" i="41" s="1"/>
  <c r="J110" i="45"/>
  <c r="G111" i="45"/>
  <c r="D112" i="45"/>
  <c r="B112" i="45" s="1"/>
  <c r="E112" i="45"/>
  <c r="I108" i="38"/>
  <c r="H108" i="38"/>
  <c r="G109" i="42"/>
  <c r="D110" i="42"/>
  <c r="G109" i="41"/>
  <c r="J108" i="42"/>
  <c r="H108" i="41"/>
  <c r="I108" i="41"/>
  <c r="E109" i="38"/>
  <c r="F109" i="38" s="1"/>
  <c r="B109" i="38"/>
  <c r="J109" i="30"/>
  <c r="J117" i="11"/>
  <c r="J107" i="43"/>
  <c r="J118" i="10"/>
  <c r="J115" i="3"/>
  <c r="J118" i="7"/>
  <c r="J111" i="27"/>
  <c r="G119" i="7"/>
  <c r="D120" i="7"/>
  <c r="E120" i="7"/>
  <c r="G116" i="5"/>
  <c r="D117" i="5"/>
  <c r="E117" i="5"/>
  <c r="J107" i="39"/>
  <c r="G116" i="3"/>
  <c r="D117" i="3"/>
  <c r="E117" i="3"/>
  <c r="G112" i="27"/>
  <c r="D113" i="27"/>
  <c r="E113" i="27"/>
  <c r="J116" i="8"/>
  <c r="J115" i="4"/>
  <c r="J114" i="25"/>
  <c r="G108" i="39"/>
  <c r="D109" i="39"/>
  <c r="E109" i="39"/>
  <c r="J114" i="22"/>
  <c r="G108" i="37"/>
  <c r="D109" i="37"/>
  <c r="E109" i="37"/>
  <c r="G107" i="40"/>
  <c r="D108" i="40"/>
  <c r="E108" i="40"/>
  <c r="J110" i="29"/>
  <c r="G111" i="31"/>
  <c r="D112" i="31"/>
  <c r="E112" i="31"/>
  <c r="J113" i="23"/>
  <c r="J115" i="5"/>
  <c r="G114" i="23"/>
  <c r="D115" i="23"/>
  <c r="E115" i="23"/>
  <c r="J112" i="24"/>
  <c r="G111" i="28"/>
  <c r="D112" i="28"/>
  <c r="E112" i="28"/>
  <c r="J116" i="6"/>
  <c r="G113" i="24"/>
  <c r="D114" i="24"/>
  <c r="E114" i="24"/>
  <c r="G119" i="10"/>
  <c r="D120" i="10"/>
  <c r="E120" i="10"/>
  <c r="J107" i="37"/>
  <c r="J106" i="40"/>
  <c r="G117" i="6"/>
  <c r="D118" i="6"/>
  <c r="E118" i="6"/>
  <c r="J110" i="31"/>
  <c r="J117" i="9"/>
  <c r="G118" i="9"/>
  <c r="D119" i="9"/>
  <c r="E119" i="9"/>
  <c r="G117" i="8"/>
  <c r="D118" i="8"/>
  <c r="E118" i="8"/>
  <c r="G116" i="4"/>
  <c r="D117" i="4"/>
  <c r="E117" i="4"/>
  <c r="G115" i="25"/>
  <c r="D116" i="25"/>
  <c r="E116" i="25"/>
  <c r="G110" i="30"/>
  <c r="D111" i="30"/>
  <c r="E111" i="30"/>
  <c r="J110" i="28"/>
  <c r="G118" i="11"/>
  <c r="D119" i="11"/>
  <c r="E119" i="11"/>
  <c r="G111" i="29"/>
  <c r="D112" i="29"/>
  <c r="E112" i="29"/>
  <c r="G108" i="43"/>
  <c r="D109" i="43"/>
  <c r="E109" i="43"/>
  <c r="G115" i="22"/>
  <c r="D116" i="22"/>
  <c r="E116" i="22"/>
  <c r="F112" i="45" l="1"/>
  <c r="E113" i="45" s="1"/>
  <c r="H111" i="45"/>
  <c r="I111" i="45"/>
  <c r="G110" i="44"/>
  <c r="D111" i="44"/>
  <c r="J109" i="44"/>
  <c r="J108" i="38"/>
  <c r="G109" i="38"/>
  <c r="D110" i="38"/>
  <c r="E110" i="42"/>
  <c r="F110" i="42" s="1"/>
  <c r="B110" i="42"/>
  <c r="I109" i="42"/>
  <c r="H109" i="42"/>
  <c r="E110" i="41"/>
  <c r="F110" i="41" s="1"/>
  <c r="B110" i="41"/>
  <c r="J108" i="41"/>
  <c r="I109" i="41"/>
  <c r="H109" i="41"/>
  <c r="I118" i="11"/>
  <c r="H118" i="11"/>
  <c r="I115" i="22"/>
  <c r="H115" i="22"/>
  <c r="B119" i="11"/>
  <c r="F119" i="11"/>
  <c r="B111" i="30"/>
  <c r="F111" i="30"/>
  <c r="H115" i="25"/>
  <c r="I115" i="25"/>
  <c r="B119" i="9"/>
  <c r="F119" i="9"/>
  <c r="H112" i="27"/>
  <c r="I112" i="27"/>
  <c r="B118" i="8"/>
  <c r="F118" i="8"/>
  <c r="I118" i="9"/>
  <c r="H118" i="9"/>
  <c r="B118" i="6"/>
  <c r="F118" i="6"/>
  <c r="B114" i="24"/>
  <c r="F114" i="24"/>
  <c r="B112" i="28"/>
  <c r="F112" i="28"/>
  <c r="B115" i="23"/>
  <c r="F115" i="23"/>
  <c r="B109" i="37"/>
  <c r="F109" i="37"/>
  <c r="B109" i="39"/>
  <c r="F109" i="39"/>
  <c r="B120" i="7"/>
  <c r="F120" i="7"/>
  <c r="B117" i="4"/>
  <c r="F117" i="4"/>
  <c r="B120" i="10"/>
  <c r="F120" i="10"/>
  <c r="H113" i="24"/>
  <c r="I113" i="24"/>
  <c r="H111" i="28"/>
  <c r="I111" i="28"/>
  <c r="H114" i="23"/>
  <c r="I114" i="23"/>
  <c r="B112" i="31"/>
  <c r="F112" i="31"/>
  <c r="B108" i="40"/>
  <c r="F108" i="40"/>
  <c r="I108" i="37"/>
  <c r="H108" i="37"/>
  <c r="H108" i="39"/>
  <c r="I108" i="39"/>
  <c r="B117" i="3"/>
  <c r="F117" i="3"/>
  <c r="B117" i="5"/>
  <c r="F117" i="5"/>
  <c r="H119" i="7"/>
  <c r="I119" i="7"/>
  <c r="B112" i="29"/>
  <c r="F112" i="29"/>
  <c r="H110" i="30"/>
  <c r="I110" i="30"/>
  <c r="B109" i="43"/>
  <c r="F109" i="43"/>
  <c r="H111" i="29"/>
  <c r="I111" i="29"/>
  <c r="H117" i="8"/>
  <c r="I117" i="8"/>
  <c r="H117" i="6"/>
  <c r="I117" i="6"/>
  <c r="B116" i="22"/>
  <c r="F116" i="22"/>
  <c r="H108" i="43"/>
  <c r="I108" i="43"/>
  <c r="B116" i="25"/>
  <c r="F116" i="25"/>
  <c r="H116" i="4"/>
  <c r="I116" i="4"/>
  <c r="H119" i="10"/>
  <c r="I119" i="10"/>
  <c r="I111" i="31"/>
  <c r="H111" i="31"/>
  <c r="H107" i="40"/>
  <c r="I107" i="40"/>
  <c r="B113" i="27"/>
  <c r="F113" i="27"/>
  <c r="H116" i="3"/>
  <c r="I116" i="3"/>
  <c r="H116" i="5"/>
  <c r="I116" i="5"/>
  <c r="G112" i="45" l="1"/>
  <c r="I112" i="45" s="1"/>
  <c r="D113" i="45"/>
  <c r="B113" i="45" s="1"/>
  <c r="J111" i="45"/>
  <c r="E111" i="44"/>
  <c r="F111" i="44" s="1"/>
  <c r="B111" i="44"/>
  <c r="H112" i="45"/>
  <c r="I110" i="44"/>
  <c r="H110" i="44"/>
  <c r="J109" i="41"/>
  <c r="G110" i="41"/>
  <c r="D111" i="41"/>
  <c r="D111" i="42"/>
  <c r="B111" i="42" s="1"/>
  <c r="G110" i="42"/>
  <c r="E111" i="42"/>
  <c r="J109" i="42"/>
  <c r="E110" i="38"/>
  <c r="F110" i="38" s="1"/>
  <c r="B110" i="38"/>
  <c r="I109" i="38"/>
  <c r="H109" i="38"/>
  <c r="J118" i="9"/>
  <c r="J118" i="11"/>
  <c r="J111" i="31"/>
  <c r="J108" i="37"/>
  <c r="J116" i="5"/>
  <c r="G113" i="27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D113" i="31"/>
  <c r="E113" i="31"/>
  <c r="J111" i="28"/>
  <c r="G120" i="10"/>
  <c r="D121" i="10"/>
  <c r="E121" i="10"/>
  <c r="G120" i="7"/>
  <c r="D121" i="7"/>
  <c r="E121" i="7"/>
  <c r="G109" i="37"/>
  <c r="D110" i="37"/>
  <c r="E110" i="37"/>
  <c r="G112" i="28"/>
  <c r="D113" i="28"/>
  <c r="E113" i="28"/>
  <c r="G118" i="6"/>
  <c r="D119" i="6"/>
  <c r="E119" i="6"/>
  <c r="G118" i="8"/>
  <c r="D119" i="8"/>
  <c r="E119" i="8"/>
  <c r="G119" i="9"/>
  <c r="D120" i="9"/>
  <c r="E120" i="9"/>
  <c r="G111" i="30"/>
  <c r="D112" i="30"/>
  <c r="E112" i="30"/>
  <c r="J115" i="22"/>
  <c r="J116" i="3"/>
  <c r="J107" i="40"/>
  <c r="J119" i="10"/>
  <c r="G116" i="25"/>
  <c r="D117" i="25"/>
  <c r="E117" i="25"/>
  <c r="G116" i="22"/>
  <c r="D117" i="22"/>
  <c r="E117" i="22"/>
  <c r="J117" i="8"/>
  <c r="G109" i="43"/>
  <c r="D110" i="43"/>
  <c r="E110" i="43"/>
  <c r="G112" i="29"/>
  <c r="D113" i="29"/>
  <c r="E113" i="29"/>
  <c r="G117" i="5"/>
  <c r="D118" i="5"/>
  <c r="E118" i="5"/>
  <c r="J108" i="39"/>
  <c r="G108" i="40"/>
  <c r="D109" i="40"/>
  <c r="E109" i="40"/>
  <c r="J114" i="23"/>
  <c r="J113" i="24"/>
  <c r="G117" i="4"/>
  <c r="D118" i="4"/>
  <c r="E118" i="4"/>
  <c r="G109" i="39"/>
  <c r="D110" i="39"/>
  <c r="E110" i="39"/>
  <c r="G115" i="23"/>
  <c r="D116" i="23"/>
  <c r="E116" i="23"/>
  <c r="G114" i="24"/>
  <c r="D115" i="24"/>
  <c r="E115" i="24"/>
  <c r="J112" i="27"/>
  <c r="J115" i="25"/>
  <c r="G119" i="11"/>
  <c r="D120" i="11"/>
  <c r="E120" i="11"/>
  <c r="F113" i="45" l="1"/>
  <c r="G111" i="44"/>
  <c r="D112" i="44"/>
  <c r="B112" i="44" s="1"/>
  <c r="E112" i="44"/>
  <c r="J110" i="44"/>
  <c r="D114" i="45"/>
  <c r="B114" i="45" s="1"/>
  <c r="G113" i="45"/>
  <c r="E114" i="45"/>
  <c r="J112" i="45"/>
  <c r="D111" i="38"/>
  <c r="B111" i="38" s="1"/>
  <c r="G110" i="38"/>
  <c r="E111" i="38"/>
  <c r="H110" i="42"/>
  <c r="I110" i="42"/>
  <c r="J109" i="38"/>
  <c r="E111" i="41"/>
  <c r="F111" i="41" s="1"/>
  <c r="B111" i="41"/>
  <c r="F111" i="42"/>
  <c r="H110" i="41"/>
  <c r="I110" i="41"/>
  <c r="B110" i="39"/>
  <c r="F110" i="39"/>
  <c r="H117" i="4"/>
  <c r="I117" i="4"/>
  <c r="B109" i="40"/>
  <c r="F109" i="40"/>
  <c r="B118" i="5"/>
  <c r="F118" i="5"/>
  <c r="H112" i="29"/>
  <c r="I112" i="29"/>
  <c r="B112" i="30"/>
  <c r="F112" i="30"/>
  <c r="H119" i="9"/>
  <c r="I119" i="9"/>
  <c r="B113" i="28"/>
  <c r="F113" i="28"/>
  <c r="I109" i="37"/>
  <c r="H109" i="37"/>
  <c r="B118" i="3"/>
  <c r="F118" i="3"/>
  <c r="B116" i="23"/>
  <c r="F116" i="23"/>
  <c r="H109" i="39"/>
  <c r="I109" i="39"/>
  <c r="I108" i="40"/>
  <c r="H108" i="40"/>
  <c r="H117" i="5"/>
  <c r="I117" i="5"/>
  <c r="B117" i="25"/>
  <c r="F117" i="25"/>
  <c r="H111" i="30"/>
  <c r="I111" i="30"/>
  <c r="B119" i="6"/>
  <c r="F119" i="6"/>
  <c r="H112" i="28"/>
  <c r="I112" i="28"/>
  <c r="B121" i="10"/>
  <c r="F121" i="10"/>
  <c r="B113" i="31"/>
  <c r="F113" i="31"/>
  <c r="I117" i="3"/>
  <c r="H117" i="3"/>
  <c r="B114" i="27"/>
  <c r="F114" i="27"/>
  <c r="B120" i="11"/>
  <c r="F120" i="11"/>
  <c r="H119" i="11"/>
  <c r="I119" i="11"/>
  <c r="B115" i="24"/>
  <c r="F115" i="24"/>
  <c r="H115" i="23"/>
  <c r="I115" i="23"/>
  <c r="B110" i="43"/>
  <c r="F110" i="43"/>
  <c r="B117" i="22"/>
  <c r="F117" i="22"/>
  <c r="H116" i="25"/>
  <c r="I116" i="25"/>
  <c r="B119" i="8"/>
  <c r="F119" i="8"/>
  <c r="H118" i="6"/>
  <c r="I118" i="6"/>
  <c r="B121" i="7"/>
  <c r="F121" i="7"/>
  <c r="H120" i="10"/>
  <c r="I120" i="10"/>
  <c r="I112" i="31"/>
  <c r="H112" i="31"/>
  <c r="H113" i="27"/>
  <c r="I113" i="27"/>
  <c r="H114" i="24"/>
  <c r="I114" i="24"/>
  <c r="B118" i="4"/>
  <c r="F118" i="4"/>
  <c r="B113" i="29"/>
  <c r="F113" i="29"/>
  <c r="H109" i="43"/>
  <c r="I109" i="43"/>
  <c r="H116" i="22"/>
  <c r="I116" i="22"/>
  <c r="B120" i="9"/>
  <c r="F120" i="9"/>
  <c r="H118" i="8"/>
  <c r="I118" i="8"/>
  <c r="B110" i="37"/>
  <c r="F110" i="37"/>
  <c r="H120" i="7"/>
  <c r="I120" i="7"/>
  <c r="F114" i="45" l="1"/>
  <c r="G114" i="45" s="1"/>
  <c r="F112" i="44"/>
  <c r="E113" i="44" s="1"/>
  <c r="H113" i="45"/>
  <c r="I113" i="45"/>
  <c r="J113" i="45" s="1"/>
  <c r="H111" i="44"/>
  <c r="I111" i="44"/>
  <c r="J110" i="41"/>
  <c r="F111" i="38"/>
  <c r="D112" i="38" s="1"/>
  <c r="B112" i="38" s="1"/>
  <c r="D112" i="41"/>
  <c r="G111" i="41"/>
  <c r="G111" i="42"/>
  <c r="D112" i="42"/>
  <c r="B112" i="42" s="1"/>
  <c r="E112" i="42"/>
  <c r="I110" i="38"/>
  <c r="H110" i="38"/>
  <c r="J110" i="42"/>
  <c r="J117" i="4"/>
  <c r="J108" i="40"/>
  <c r="J117" i="3"/>
  <c r="J109" i="37"/>
  <c r="J112" i="31"/>
  <c r="J120" i="7"/>
  <c r="J118" i="8"/>
  <c r="J116" i="22"/>
  <c r="G113" i="29"/>
  <c r="D114" i="29"/>
  <c r="E114" i="29"/>
  <c r="J114" i="24"/>
  <c r="G121" i="7"/>
  <c r="D122" i="7"/>
  <c r="E122" i="7"/>
  <c r="G119" i="8"/>
  <c r="D120" i="8"/>
  <c r="E120" i="8"/>
  <c r="G117" i="22"/>
  <c r="D118" i="22"/>
  <c r="E118" i="22"/>
  <c r="J115" i="23"/>
  <c r="J119" i="11"/>
  <c r="G114" i="27"/>
  <c r="D115" i="27"/>
  <c r="E115" i="27"/>
  <c r="G113" i="31"/>
  <c r="D114" i="31"/>
  <c r="E114" i="31"/>
  <c r="J112" i="28"/>
  <c r="J111" i="30"/>
  <c r="J117" i="5"/>
  <c r="J109" i="39"/>
  <c r="G118" i="3"/>
  <c r="D119" i="3"/>
  <c r="E119" i="3"/>
  <c r="G113" i="28"/>
  <c r="D114" i="28"/>
  <c r="E114" i="28"/>
  <c r="G112" i="30"/>
  <c r="D113" i="30"/>
  <c r="E113" i="30"/>
  <c r="G118" i="5"/>
  <c r="D119" i="5"/>
  <c r="E119" i="5"/>
  <c r="G110" i="37"/>
  <c r="D111" i="37"/>
  <c r="E111" i="37"/>
  <c r="G120" i="9"/>
  <c r="D121" i="9"/>
  <c r="E121" i="9"/>
  <c r="J109" i="43"/>
  <c r="G118" i="4"/>
  <c r="D119" i="4"/>
  <c r="E119" i="4"/>
  <c r="J113" i="27"/>
  <c r="J120" i="10"/>
  <c r="J118" i="6"/>
  <c r="J116" i="25"/>
  <c r="G110" i="43"/>
  <c r="D111" i="43"/>
  <c r="E111" i="43"/>
  <c r="G115" i="24"/>
  <c r="D116" i="24"/>
  <c r="E116" i="24"/>
  <c r="G120" i="11"/>
  <c r="D121" i="11"/>
  <c r="E121" i="11"/>
  <c r="G121" i="10"/>
  <c r="D122" i="10"/>
  <c r="E122" i="10"/>
  <c r="G119" i="6"/>
  <c r="D120" i="6"/>
  <c r="E120" i="6"/>
  <c r="G117" i="25"/>
  <c r="D118" i="25"/>
  <c r="E118" i="25"/>
  <c r="G116" i="23"/>
  <c r="D117" i="23"/>
  <c r="E117" i="23"/>
  <c r="J119" i="9"/>
  <c r="J112" i="29"/>
  <c r="G109" i="40"/>
  <c r="D110" i="40"/>
  <c r="E110" i="40"/>
  <c r="G110" i="39"/>
  <c r="D111" i="39"/>
  <c r="E111" i="39"/>
  <c r="D113" i="44" l="1"/>
  <c r="B113" i="44" s="1"/>
  <c r="D115" i="45"/>
  <c r="B115" i="45" s="1"/>
  <c r="G112" i="44"/>
  <c r="H112" i="44" s="1"/>
  <c r="I112" i="44"/>
  <c r="E115" i="45"/>
  <c r="J111" i="44"/>
  <c r="I114" i="45"/>
  <c r="H114" i="45"/>
  <c r="E112" i="38"/>
  <c r="F112" i="38" s="1"/>
  <c r="G111" i="38"/>
  <c r="H111" i="38" s="1"/>
  <c r="F112" i="42"/>
  <c r="I111" i="42"/>
  <c r="H111" i="42"/>
  <c r="I111" i="41"/>
  <c r="H111" i="41"/>
  <c r="J110" i="38"/>
  <c r="E112" i="41"/>
  <c r="F112" i="41" s="1"/>
  <c r="B112" i="41"/>
  <c r="B120" i="6"/>
  <c r="F120" i="6"/>
  <c r="I121" i="10"/>
  <c r="H121" i="10"/>
  <c r="B111" i="43"/>
  <c r="F111" i="43"/>
  <c r="I118" i="4"/>
  <c r="H118" i="4"/>
  <c r="I120" i="9"/>
  <c r="H120" i="9"/>
  <c r="B113" i="30"/>
  <c r="F113" i="30"/>
  <c r="H113" i="28"/>
  <c r="I113" i="28"/>
  <c r="B115" i="27"/>
  <c r="F115" i="27"/>
  <c r="B120" i="8"/>
  <c r="F120" i="8"/>
  <c r="H121" i="7"/>
  <c r="I121" i="7"/>
  <c r="H113" i="29"/>
  <c r="I113" i="29"/>
  <c r="H110" i="39"/>
  <c r="I110" i="39"/>
  <c r="B110" i="40"/>
  <c r="F110" i="40"/>
  <c r="B118" i="25"/>
  <c r="F118" i="25"/>
  <c r="H119" i="6"/>
  <c r="I119" i="6"/>
  <c r="B116" i="24"/>
  <c r="F116" i="24"/>
  <c r="I110" i="43"/>
  <c r="H110" i="43"/>
  <c r="B119" i="5"/>
  <c r="F119" i="5"/>
  <c r="H112" i="30"/>
  <c r="I112" i="30"/>
  <c r="B114" i="31"/>
  <c r="F114" i="31"/>
  <c r="I114" i="27"/>
  <c r="H114" i="27"/>
  <c r="B118" i="22"/>
  <c r="F118" i="22"/>
  <c r="H119" i="8"/>
  <c r="I119" i="8"/>
  <c r="B111" i="39"/>
  <c r="F111" i="39"/>
  <c r="H109" i="40"/>
  <c r="I109" i="40"/>
  <c r="B117" i="23"/>
  <c r="F117" i="23"/>
  <c r="H117" i="25"/>
  <c r="I117" i="25"/>
  <c r="B121" i="11"/>
  <c r="F121" i="11"/>
  <c r="H115" i="24"/>
  <c r="I115" i="24"/>
  <c r="B111" i="37"/>
  <c r="F111" i="37"/>
  <c r="H118" i="5"/>
  <c r="I118" i="5"/>
  <c r="B119" i="3"/>
  <c r="F119" i="3"/>
  <c r="H113" i="31"/>
  <c r="I113" i="31"/>
  <c r="H117" i="22"/>
  <c r="I117" i="22"/>
  <c r="I116" i="23"/>
  <c r="H116" i="23"/>
  <c r="B122" i="10"/>
  <c r="F122" i="10"/>
  <c r="I120" i="11"/>
  <c r="H120" i="11"/>
  <c r="B119" i="4"/>
  <c r="F119" i="4"/>
  <c r="B121" i="9"/>
  <c r="F121" i="9"/>
  <c r="H110" i="37"/>
  <c r="I110" i="37"/>
  <c r="B114" i="28"/>
  <c r="F114" i="28"/>
  <c r="I118" i="3"/>
  <c r="H118" i="3"/>
  <c r="B122" i="7"/>
  <c r="F122" i="7"/>
  <c r="B114" i="29"/>
  <c r="F114" i="29"/>
  <c r="F115" i="45" l="1"/>
  <c r="F113" i="44"/>
  <c r="G113" i="44" s="1"/>
  <c r="J114" i="45"/>
  <c r="J112" i="44"/>
  <c r="D116" i="45"/>
  <c r="B116" i="45" s="1"/>
  <c r="G115" i="45"/>
  <c r="E116" i="45"/>
  <c r="I111" i="38"/>
  <c r="J111" i="38" s="1"/>
  <c r="J111" i="42"/>
  <c r="D113" i="41"/>
  <c r="G112" i="41"/>
  <c r="J111" i="41"/>
  <c r="J114" i="27"/>
  <c r="D113" i="38"/>
  <c r="B113" i="38" s="1"/>
  <c r="G112" i="38"/>
  <c r="E113" i="38"/>
  <c r="D113" i="42"/>
  <c r="B113" i="42" s="1"/>
  <c r="G112" i="42"/>
  <c r="E113" i="42"/>
  <c r="J110" i="43"/>
  <c r="J120" i="9"/>
  <c r="J113" i="31"/>
  <c r="J118" i="5"/>
  <c r="J118" i="3"/>
  <c r="G114" i="28"/>
  <c r="D115" i="28"/>
  <c r="E115" i="28"/>
  <c r="J120" i="11"/>
  <c r="G114" i="29"/>
  <c r="D115" i="29"/>
  <c r="E115" i="29"/>
  <c r="J110" i="37"/>
  <c r="G119" i="4"/>
  <c r="D120" i="4"/>
  <c r="E120" i="4"/>
  <c r="G122" i="10"/>
  <c r="D123" i="10"/>
  <c r="E123" i="10"/>
  <c r="J117" i="22"/>
  <c r="G119" i="3"/>
  <c r="D120" i="3"/>
  <c r="E120" i="3"/>
  <c r="G111" i="37"/>
  <c r="D112" i="37"/>
  <c r="E112" i="37"/>
  <c r="G121" i="11"/>
  <c r="D122" i="11"/>
  <c r="E122" i="11"/>
  <c r="G117" i="23"/>
  <c r="D118" i="23"/>
  <c r="E118" i="23"/>
  <c r="G111" i="39"/>
  <c r="D112" i="39"/>
  <c r="E112" i="39"/>
  <c r="G118" i="22"/>
  <c r="D119" i="22"/>
  <c r="E119" i="22"/>
  <c r="G114" i="31"/>
  <c r="D115" i="31"/>
  <c r="E115" i="31"/>
  <c r="G119" i="5"/>
  <c r="D120" i="5"/>
  <c r="E120" i="5"/>
  <c r="G116" i="24"/>
  <c r="D117" i="24"/>
  <c r="E117" i="24"/>
  <c r="G118" i="25"/>
  <c r="D119" i="25"/>
  <c r="E119" i="25"/>
  <c r="J110" i="39"/>
  <c r="J121" i="7"/>
  <c r="G115" i="27"/>
  <c r="D116" i="27"/>
  <c r="E116" i="27"/>
  <c r="G113" i="30"/>
  <c r="D114" i="30"/>
  <c r="E114" i="30"/>
  <c r="J118" i="4"/>
  <c r="J121" i="10"/>
  <c r="G122" i="7"/>
  <c r="D123" i="7"/>
  <c r="E123" i="7"/>
  <c r="G121" i="9"/>
  <c r="D122" i="9"/>
  <c r="E122" i="9"/>
  <c r="J115" i="24"/>
  <c r="J117" i="25"/>
  <c r="J109" i="40"/>
  <c r="J119" i="8"/>
  <c r="J112" i="30"/>
  <c r="J119" i="6"/>
  <c r="G110" i="40"/>
  <c r="D111" i="40"/>
  <c r="E111" i="40"/>
  <c r="J113" i="29"/>
  <c r="G120" i="8"/>
  <c r="D121" i="8"/>
  <c r="E121" i="8"/>
  <c r="J113" i="28"/>
  <c r="G111" i="43"/>
  <c r="D112" i="43"/>
  <c r="E112" i="43"/>
  <c r="G120" i="6"/>
  <c r="D121" i="6"/>
  <c r="E121" i="6"/>
  <c r="J116" i="23"/>
  <c r="D114" i="44" l="1"/>
  <c r="B114" i="44" s="1"/>
  <c r="E114" i="44"/>
  <c r="F116" i="45"/>
  <c r="G116" i="45" s="1"/>
  <c r="F114" i="44"/>
  <c r="H115" i="45"/>
  <c r="I115" i="45"/>
  <c r="I113" i="44"/>
  <c r="H113" i="44"/>
  <c r="F113" i="42"/>
  <c r="G113" i="42" s="1"/>
  <c r="F113" i="38"/>
  <c r="G113" i="38" s="1"/>
  <c r="H112" i="38"/>
  <c r="I112" i="38"/>
  <c r="H112" i="42"/>
  <c r="I112" i="42"/>
  <c r="I112" i="41"/>
  <c r="H112" i="41"/>
  <c r="E113" i="41"/>
  <c r="F113" i="41" s="1"/>
  <c r="B113" i="41"/>
  <c r="B121" i="6"/>
  <c r="F121" i="6"/>
  <c r="H111" i="43"/>
  <c r="I111" i="43"/>
  <c r="H120" i="8"/>
  <c r="I120" i="8"/>
  <c r="H110" i="40"/>
  <c r="I110" i="40"/>
  <c r="B122" i="9"/>
  <c r="F122" i="9"/>
  <c r="H122" i="7"/>
  <c r="I122" i="7"/>
  <c r="B114" i="30"/>
  <c r="F114" i="30"/>
  <c r="H115" i="27"/>
  <c r="I115" i="27"/>
  <c r="B119" i="25"/>
  <c r="F119" i="25"/>
  <c r="I116" i="24"/>
  <c r="H116" i="24"/>
  <c r="B119" i="22"/>
  <c r="F119" i="22"/>
  <c r="H111" i="39"/>
  <c r="I111" i="39"/>
  <c r="B112" i="37"/>
  <c r="F112" i="37"/>
  <c r="H119" i="3"/>
  <c r="I119" i="3"/>
  <c r="H122" i="10"/>
  <c r="I122" i="10"/>
  <c r="B112" i="43"/>
  <c r="F112" i="43"/>
  <c r="H120" i="6"/>
  <c r="I120" i="6"/>
  <c r="H121" i="9"/>
  <c r="I121" i="9"/>
  <c r="I113" i="30"/>
  <c r="H113" i="30"/>
  <c r="H118" i="25"/>
  <c r="I118" i="25"/>
  <c r="B115" i="31"/>
  <c r="F115" i="31"/>
  <c r="I118" i="22"/>
  <c r="H118" i="22"/>
  <c r="B122" i="11"/>
  <c r="F122" i="11"/>
  <c r="H111" i="37"/>
  <c r="I111" i="37"/>
  <c r="B120" i="5"/>
  <c r="F120" i="5"/>
  <c r="I114" i="31"/>
  <c r="H114" i="31"/>
  <c r="B118" i="23"/>
  <c r="F118" i="23"/>
  <c r="H121" i="11"/>
  <c r="I121" i="11"/>
  <c r="B120" i="4"/>
  <c r="F120" i="4"/>
  <c r="B115" i="29"/>
  <c r="F115" i="29"/>
  <c r="B115" i="28"/>
  <c r="F115" i="28"/>
  <c r="B121" i="8"/>
  <c r="F121" i="8"/>
  <c r="B111" i="40"/>
  <c r="F111" i="40"/>
  <c r="B123" i="7"/>
  <c r="F123" i="7"/>
  <c r="B116" i="27"/>
  <c r="F116" i="27"/>
  <c r="B117" i="24"/>
  <c r="F117" i="24"/>
  <c r="I119" i="5"/>
  <c r="H119" i="5"/>
  <c r="B112" i="39"/>
  <c r="F112" i="39"/>
  <c r="H117" i="23"/>
  <c r="I117" i="23"/>
  <c r="B120" i="3"/>
  <c r="F120" i="3"/>
  <c r="B123" i="10"/>
  <c r="F123" i="10"/>
  <c r="H119" i="4"/>
  <c r="I119" i="4"/>
  <c r="I114" i="29"/>
  <c r="H114" i="29"/>
  <c r="H114" i="28"/>
  <c r="I114" i="28"/>
  <c r="J115" i="45" l="1"/>
  <c r="D114" i="42"/>
  <c r="B114" i="42" s="1"/>
  <c r="E117" i="45"/>
  <c r="D117" i="45"/>
  <c r="B117" i="45" s="1"/>
  <c r="D114" i="38"/>
  <c r="B114" i="38" s="1"/>
  <c r="J113" i="44"/>
  <c r="G114" i="44"/>
  <c r="D115" i="44"/>
  <c r="B115" i="44" s="1"/>
  <c r="E115" i="44"/>
  <c r="I116" i="45"/>
  <c r="H116" i="45"/>
  <c r="J112" i="42"/>
  <c r="J112" i="38"/>
  <c r="G113" i="41"/>
  <c r="D114" i="41"/>
  <c r="H113" i="42"/>
  <c r="I113" i="42"/>
  <c r="E114" i="42"/>
  <c r="F114" i="42" s="1"/>
  <c r="E114" i="38"/>
  <c r="J112" i="41"/>
  <c r="I113" i="38"/>
  <c r="H113" i="38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D113" i="39"/>
  <c r="E113" i="39"/>
  <c r="G117" i="24"/>
  <c r="D118" i="24"/>
  <c r="E118" i="24"/>
  <c r="G123" i="7"/>
  <c r="D124" i="7"/>
  <c r="E124" i="7"/>
  <c r="G121" i="8"/>
  <c r="D122" i="8"/>
  <c r="E122" i="8"/>
  <c r="G115" i="29"/>
  <c r="D116" i="29"/>
  <c r="E116" i="29"/>
  <c r="J121" i="9"/>
  <c r="G112" i="43"/>
  <c r="D113" i="43"/>
  <c r="E113" i="43"/>
  <c r="J114" i="31"/>
  <c r="J118" i="22"/>
  <c r="J116" i="24"/>
  <c r="G123" i="10"/>
  <c r="D124" i="10"/>
  <c r="E124" i="10"/>
  <c r="J117" i="23"/>
  <c r="G116" i="27"/>
  <c r="D117" i="27"/>
  <c r="E117" i="27"/>
  <c r="G111" i="40"/>
  <c r="D112" i="40"/>
  <c r="E112" i="40"/>
  <c r="G115" i="28"/>
  <c r="D116" i="28"/>
  <c r="E116" i="28"/>
  <c r="G120" i="4"/>
  <c r="D121" i="4"/>
  <c r="E121" i="4"/>
  <c r="G118" i="23"/>
  <c r="D119" i="23"/>
  <c r="E119" i="23"/>
  <c r="G120" i="5"/>
  <c r="D121" i="5"/>
  <c r="E121" i="5"/>
  <c r="G122" i="11"/>
  <c r="D123" i="11"/>
  <c r="E123" i="11"/>
  <c r="G115" i="31"/>
  <c r="D116" i="31"/>
  <c r="E116" i="31"/>
  <c r="J120" i="6"/>
  <c r="J122" i="10"/>
  <c r="G112" i="37"/>
  <c r="D113" i="37"/>
  <c r="E113" i="37"/>
  <c r="G119" i="22"/>
  <c r="D120" i="22"/>
  <c r="E120" i="22"/>
  <c r="G119" i="25"/>
  <c r="D120" i="25"/>
  <c r="E120" i="25"/>
  <c r="G114" i="30"/>
  <c r="D115" i="30"/>
  <c r="E115" i="30"/>
  <c r="G122" i="9"/>
  <c r="D123" i="9"/>
  <c r="E123" i="9"/>
  <c r="G121" i="6"/>
  <c r="D122" i="6"/>
  <c r="E122" i="6"/>
  <c r="F115" i="44" l="1"/>
  <c r="F114" i="38"/>
  <c r="G114" i="38" s="1"/>
  <c r="F117" i="45"/>
  <c r="J116" i="45"/>
  <c r="G115" i="44"/>
  <c r="D116" i="44"/>
  <c r="I114" i="44"/>
  <c r="H114" i="44"/>
  <c r="J113" i="38"/>
  <c r="D115" i="38"/>
  <c r="J113" i="42"/>
  <c r="D115" i="42"/>
  <c r="B115" i="42" s="1"/>
  <c r="G114" i="42"/>
  <c r="E115" i="42"/>
  <c r="E114" i="41"/>
  <c r="F114" i="41" s="1"/>
  <c r="B114" i="41"/>
  <c r="H113" i="41"/>
  <c r="I113" i="41"/>
  <c r="B115" i="30"/>
  <c r="F115" i="30"/>
  <c r="I119" i="25"/>
  <c r="H119" i="25"/>
  <c r="B121" i="5"/>
  <c r="F121" i="5"/>
  <c r="H118" i="23"/>
  <c r="I118" i="23"/>
  <c r="B112" i="40"/>
  <c r="F112" i="40"/>
  <c r="H116" i="27"/>
  <c r="I116" i="27"/>
  <c r="H123" i="10"/>
  <c r="I123" i="10"/>
  <c r="B122" i="8"/>
  <c r="F122" i="8"/>
  <c r="H123" i="7"/>
  <c r="I123" i="7"/>
  <c r="B121" i="3"/>
  <c r="F121" i="3"/>
  <c r="B123" i="9"/>
  <c r="F123" i="9"/>
  <c r="H114" i="30"/>
  <c r="I114" i="30"/>
  <c r="B113" i="37"/>
  <c r="F113" i="37"/>
  <c r="B123" i="11"/>
  <c r="F123" i="11"/>
  <c r="I120" i="5"/>
  <c r="H120" i="5"/>
  <c r="B116" i="28"/>
  <c r="F116" i="28"/>
  <c r="H111" i="40"/>
  <c r="I111" i="40"/>
  <c r="B113" i="43"/>
  <c r="F113" i="43"/>
  <c r="B116" i="29"/>
  <c r="F116" i="29"/>
  <c r="H121" i="8"/>
  <c r="I121" i="8"/>
  <c r="B113" i="39"/>
  <c r="F113" i="39"/>
  <c r="H120" i="3"/>
  <c r="I120" i="3"/>
  <c r="B120" i="22"/>
  <c r="F120" i="22"/>
  <c r="H112" i="37"/>
  <c r="I112" i="37"/>
  <c r="B116" i="31"/>
  <c r="F116" i="31"/>
  <c r="H122" i="11"/>
  <c r="I122" i="11"/>
  <c r="B121" i="4"/>
  <c r="F121" i="4"/>
  <c r="H115" i="28"/>
  <c r="I115" i="28"/>
  <c r="I112" i="43"/>
  <c r="H112" i="43"/>
  <c r="I115" i="29"/>
  <c r="H115" i="29"/>
  <c r="B118" i="24"/>
  <c r="F118" i="24"/>
  <c r="H112" i="39"/>
  <c r="I112" i="39"/>
  <c r="B122" i="6"/>
  <c r="F122" i="6"/>
  <c r="I122" i="9"/>
  <c r="H122" i="9"/>
  <c r="H121" i="6"/>
  <c r="I121" i="6"/>
  <c r="B120" i="25"/>
  <c r="F120" i="25"/>
  <c r="H119" i="22"/>
  <c r="I119" i="22"/>
  <c r="H115" i="31"/>
  <c r="I115" i="31"/>
  <c r="B119" i="23"/>
  <c r="F119" i="23"/>
  <c r="H120" i="4"/>
  <c r="I120" i="4"/>
  <c r="B117" i="27"/>
  <c r="F117" i="27"/>
  <c r="B124" i="10"/>
  <c r="F124" i="10"/>
  <c r="B124" i="7"/>
  <c r="F124" i="7"/>
  <c r="H117" i="24"/>
  <c r="I117" i="24"/>
  <c r="J114" i="44" l="1"/>
  <c r="D118" i="45"/>
  <c r="G117" i="45"/>
  <c r="E118" i="45"/>
  <c r="E116" i="44"/>
  <c r="F116" i="44" s="1"/>
  <c r="B116" i="44"/>
  <c r="H115" i="44"/>
  <c r="I115" i="44"/>
  <c r="J115" i="44" s="1"/>
  <c r="J113" i="41"/>
  <c r="G114" i="41"/>
  <c r="D115" i="41"/>
  <c r="F115" i="42"/>
  <c r="I114" i="38"/>
  <c r="H114" i="38"/>
  <c r="I114" i="42"/>
  <c r="H114" i="42"/>
  <c r="E115" i="38"/>
  <c r="F115" i="38" s="1"/>
  <c r="B115" i="38"/>
  <c r="J112" i="43"/>
  <c r="J120" i="5"/>
  <c r="J116" i="27"/>
  <c r="J117" i="24"/>
  <c r="J120" i="4"/>
  <c r="J119" i="25"/>
  <c r="J122" i="9"/>
  <c r="J115" i="29"/>
  <c r="G124" i="10"/>
  <c r="D125" i="10"/>
  <c r="E125" i="10"/>
  <c r="J115" i="31"/>
  <c r="G120" i="25"/>
  <c r="D121" i="25"/>
  <c r="E121" i="25"/>
  <c r="J112" i="39"/>
  <c r="J115" i="28"/>
  <c r="J122" i="11"/>
  <c r="J112" i="37"/>
  <c r="J120" i="3"/>
  <c r="J121" i="8"/>
  <c r="G113" i="43"/>
  <c r="D114" i="43"/>
  <c r="E114" i="43"/>
  <c r="G116" i="28"/>
  <c r="D117" i="28"/>
  <c r="E117" i="28"/>
  <c r="G123" i="11"/>
  <c r="D124" i="11"/>
  <c r="E124" i="11"/>
  <c r="J114" i="30"/>
  <c r="G121" i="3"/>
  <c r="D122" i="3"/>
  <c r="E122" i="3"/>
  <c r="G122" i="8"/>
  <c r="D123" i="8"/>
  <c r="E123" i="8"/>
  <c r="J118" i="23"/>
  <c r="G124" i="7"/>
  <c r="D125" i="7"/>
  <c r="E125" i="7"/>
  <c r="G117" i="27"/>
  <c r="D118" i="27"/>
  <c r="E118" i="27"/>
  <c r="G119" i="23"/>
  <c r="D120" i="23"/>
  <c r="E120" i="23"/>
  <c r="J119" i="22"/>
  <c r="J121" i="6"/>
  <c r="G122" i="6"/>
  <c r="D123" i="6"/>
  <c r="E123" i="6"/>
  <c r="G118" i="24"/>
  <c r="D119" i="24"/>
  <c r="E119" i="24"/>
  <c r="G121" i="4"/>
  <c r="D122" i="4"/>
  <c r="E122" i="4"/>
  <c r="G116" i="31"/>
  <c r="D117" i="31"/>
  <c r="E117" i="31"/>
  <c r="G120" i="22"/>
  <c r="D121" i="22"/>
  <c r="E121" i="22"/>
  <c r="G113" i="39"/>
  <c r="D114" i="39"/>
  <c r="E114" i="39"/>
  <c r="G116" i="29"/>
  <c r="D117" i="29"/>
  <c r="E117" i="29"/>
  <c r="J111" i="40"/>
  <c r="G113" i="37"/>
  <c r="D114" i="37"/>
  <c r="E114" i="37"/>
  <c r="G123" i="9"/>
  <c r="D124" i="9"/>
  <c r="E124" i="9"/>
  <c r="J123" i="7"/>
  <c r="J123" i="10"/>
  <c r="G112" i="40"/>
  <c r="D113" i="40"/>
  <c r="E113" i="40"/>
  <c r="G121" i="5"/>
  <c r="D122" i="5"/>
  <c r="E122" i="5"/>
  <c r="G115" i="30"/>
  <c r="D116" i="30"/>
  <c r="E116" i="30"/>
  <c r="I117" i="45" l="1"/>
  <c r="H117" i="45"/>
  <c r="B118" i="45"/>
  <c r="F118" i="45"/>
  <c r="G116" i="44"/>
  <c r="D117" i="44"/>
  <c r="J114" i="38"/>
  <c r="D116" i="38"/>
  <c r="G115" i="38"/>
  <c r="G115" i="42"/>
  <c r="D116" i="42"/>
  <c r="B116" i="42" s="1"/>
  <c r="E116" i="42"/>
  <c r="J114" i="42"/>
  <c r="E115" i="41"/>
  <c r="F115" i="41" s="1"/>
  <c r="B115" i="41"/>
  <c r="I114" i="41"/>
  <c r="H114" i="41"/>
  <c r="B116" i="30"/>
  <c r="F116" i="30"/>
  <c r="B122" i="5"/>
  <c r="F122" i="5"/>
  <c r="H112" i="40"/>
  <c r="I112" i="40"/>
  <c r="B124" i="9"/>
  <c r="F124" i="9"/>
  <c r="H113" i="37"/>
  <c r="I113" i="37"/>
  <c r="H116" i="29"/>
  <c r="I116" i="29"/>
  <c r="B117" i="31"/>
  <c r="F117" i="31"/>
  <c r="H121" i="4"/>
  <c r="I121" i="4"/>
  <c r="B125" i="7"/>
  <c r="F125" i="7"/>
  <c r="B123" i="8"/>
  <c r="F123" i="8"/>
  <c r="H121" i="3"/>
  <c r="I121" i="3"/>
  <c r="H123" i="11"/>
  <c r="I123" i="11"/>
  <c r="H121" i="5"/>
  <c r="I121" i="5"/>
  <c r="I123" i="9"/>
  <c r="H123" i="9"/>
  <c r="B121" i="22"/>
  <c r="F121" i="22"/>
  <c r="H116" i="31"/>
  <c r="I116" i="31"/>
  <c r="B123" i="6"/>
  <c r="F123" i="6"/>
  <c r="B118" i="27"/>
  <c r="F118" i="27"/>
  <c r="H124" i="7"/>
  <c r="I124" i="7"/>
  <c r="H122" i="8"/>
  <c r="I122" i="8"/>
  <c r="B114" i="43"/>
  <c r="F114" i="43"/>
  <c r="H115" i="30"/>
  <c r="I115" i="30"/>
  <c r="B114" i="39"/>
  <c r="F114" i="39"/>
  <c r="H120" i="22"/>
  <c r="I120" i="22"/>
  <c r="B119" i="24"/>
  <c r="F119" i="24"/>
  <c r="H122" i="6"/>
  <c r="I122" i="6"/>
  <c r="B120" i="23"/>
  <c r="F120" i="23"/>
  <c r="H117" i="27"/>
  <c r="I117" i="27"/>
  <c r="B117" i="28"/>
  <c r="F117" i="28"/>
  <c r="I113" i="43"/>
  <c r="H113" i="43"/>
  <c r="B121" i="25"/>
  <c r="F121" i="25"/>
  <c r="B125" i="10"/>
  <c r="F125" i="10"/>
  <c r="B113" i="40"/>
  <c r="F113" i="40"/>
  <c r="B114" i="37"/>
  <c r="F114" i="37"/>
  <c r="B117" i="29"/>
  <c r="F117" i="29"/>
  <c r="H113" i="39"/>
  <c r="I113" i="39"/>
  <c r="B122" i="4"/>
  <c r="F122" i="4"/>
  <c r="I118" i="24"/>
  <c r="H118" i="24"/>
  <c r="H119" i="23"/>
  <c r="I119" i="23"/>
  <c r="B122" i="3"/>
  <c r="F122" i="3"/>
  <c r="B124" i="11"/>
  <c r="F124" i="11"/>
  <c r="I116" i="28"/>
  <c r="H116" i="28"/>
  <c r="H120" i="25"/>
  <c r="I120" i="25"/>
  <c r="I124" i="10"/>
  <c r="H124" i="10"/>
  <c r="G118" i="45" l="1"/>
  <c r="D119" i="45"/>
  <c r="B119" i="45" s="1"/>
  <c r="E119" i="45"/>
  <c r="F119" i="45" s="1"/>
  <c r="J117" i="45"/>
  <c r="H116" i="44"/>
  <c r="I116" i="44"/>
  <c r="J116" i="44" s="1"/>
  <c r="E117" i="44"/>
  <c r="F117" i="44" s="1"/>
  <c r="B117" i="44"/>
  <c r="D116" i="41"/>
  <c r="B116" i="41" s="1"/>
  <c r="G115" i="41"/>
  <c r="E116" i="41"/>
  <c r="H115" i="42"/>
  <c r="I115" i="42"/>
  <c r="J114" i="41"/>
  <c r="H115" i="38"/>
  <c r="I115" i="38"/>
  <c r="F116" i="42"/>
  <c r="E116" i="38"/>
  <c r="F116" i="38" s="1"/>
  <c r="B116" i="38"/>
  <c r="J123" i="9"/>
  <c r="J124" i="10"/>
  <c r="J116" i="28"/>
  <c r="J118" i="24"/>
  <c r="J113" i="43"/>
  <c r="G122" i="3"/>
  <c r="D123" i="3"/>
  <c r="E123" i="3"/>
  <c r="J113" i="39"/>
  <c r="G114" i="37"/>
  <c r="D115" i="37"/>
  <c r="E115" i="37"/>
  <c r="G125" i="10"/>
  <c r="D126" i="10"/>
  <c r="E126" i="10"/>
  <c r="J117" i="27"/>
  <c r="J122" i="6"/>
  <c r="J120" i="22"/>
  <c r="J115" i="30"/>
  <c r="J122" i="8"/>
  <c r="G118" i="27"/>
  <c r="D119" i="27"/>
  <c r="E119" i="27"/>
  <c r="J116" i="31"/>
  <c r="J123" i="11"/>
  <c r="G123" i="8"/>
  <c r="D124" i="8"/>
  <c r="E124" i="8"/>
  <c r="J121" i="4"/>
  <c r="J116" i="29"/>
  <c r="G124" i="9"/>
  <c r="D125" i="9"/>
  <c r="E125" i="9"/>
  <c r="G122" i="5"/>
  <c r="D123" i="5"/>
  <c r="E123" i="5"/>
  <c r="J120" i="25"/>
  <c r="G124" i="11"/>
  <c r="D125" i="11"/>
  <c r="E125" i="11"/>
  <c r="J119" i="23"/>
  <c r="G122" i="4"/>
  <c r="D123" i="4"/>
  <c r="E123" i="4"/>
  <c r="G117" i="29"/>
  <c r="D118" i="29"/>
  <c r="E118" i="29"/>
  <c r="G113" i="40"/>
  <c r="D114" i="40"/>
  <c r="E114" i="40"/>
  <c r="G121" i="25"/>
  <c r="D122" i="25"/>
  <c r="E122" i="25"/>
  <c r="G117" i="28"/>
  <c r="D118" i="28"/>
  <c r="E118" i="28"/>
  <c r="G120" i="23"/>
  <c r="D121" i="23"/>
  <c r="E121" i="23"/>
  <c r="G119" i="24"/>
  <c r="D120" i="24"/>
  <c r="E120" i="24"/>
  <c r="G114" i="39"/>
  <c r="D115" i="39"/>
  <c r="E115" i="39"/>
  <c r="G114" i="43"/>
  <c r="D115" i="43"/>
  <c r="E115" i="43"/>
  <c r="J124" i="7"/>
  <c r="G123" i="6"/>
  <c r="D124" i="6"/>
  <c r="E124" i="6"/>
  <c r="G121" i="22"/>
  <c r="D122" i="22"/>
  <c r="E122" i="22"/>
  <c r="J121" i="5"/>
  <c r="J121" i="3"/>
  <c r="G125" i="7"/>
  <c r="D126" i="7"/>
  <c r="E126" i="7"/>
  <c r="G117" i="31"/>
  <c r="D118" i="31"/>
  <c r="E118" i="31"/>
  <c r="J113" i="37"/>
  <c r="J112" i="40"/>
  <c r="G116" i="30"/>
  <c r="D117" i="30"/>
  <c r="E117" i="30"/>
  <c r="D120" i="45" l="1"/>
  <c r="B120" i="45" s="1"/>
  <c r="E120" i="45"/>
  <c r="G119" i="45"/>
  <c r="H118" i="45"/>
  <c r="I118" i="45"/>
  <c r="G117" i="44"/>
  <c r="D118" i="44"/>
  <c r="B118" i="44" s="1"/>
  <c r="E118" i="44"/>
  <c r="F116" i="41"/>
  <c r="G116" i="41" s="1"/>
  <c r="D117" i="38"/>
  <c r="G116" i="38"/>
  <c r="J115" i="38"/>
  <c r="I115" i="41"/>
  <c r="H115" i="41"/>
  <c r="G116" i="42"/>
  <c r="D117" i="42"/>
  <c r="J115" i="42"/>
  <c r="B126" i="7"/>
  <c r="F126" i="7"/>
  <c r="B115" i="43"/>
  <c r="F115" i="43"/>
  <c r="H116" i="30"/>
  <c r="I116" i="30"/>
  <c r="B122" i="22"/>
  <c r="F122" i="22"/>
  <c r="H114" i="43"/>
  <c r="I114" i="43"/>
  <c r="H117" i="31"/>
  <c r="I117" i="31"/>
  <c r="I121" i="22"/>
  <c r="H121" i="22"/>
  <c r="B120" i="24"/>
  <c r="F120" i="24"/>
  <c r="H120" i="23"/>
  <c r="I120" i="23"/>
  <c r="B114" i="40"/>
  <c r="F114" i="40"/>
  <c r="H117" i="29"/>
  <c r="I117" i="29"/>
  <c r="I118" i="27"/>
  <c r="H118" i="27"/>
  <c r="I125" i="10"/>
  <c r="H125" i="10"/>
  <c r="B115" i="39"/>
  <c r="F115" i="39"/>
  <c r="H119" i="24"/>
  <c r="I119" i="24"/>
  <c r="B122" i="25"/>
  <c r="F122" i="25"/>
  <c r="H113" i="40"/>
  <c r="I113" i="40"/>
  <c r="B125" i="9"/>
  <c r="F125" i="9"/>
  <c r="B117" i="30"/>
  <c r="F117" i="30"/>
  <c r="B124" i="6"/>
  <c r="F124" i="6"/>
  <c r="H114" i="39"/>
  <c r="I114" i="39"/>
  <c r="B118" i="28"/>
  <c r="F118" i="28"/>
  <c r="I121" i="25"/>
  <c r="H121" i="25"/>
  <c r="B123" i="4"/>
  <c r="F123" i="4"/>
  <c r="B125" i="11"/>
  <c r="F125" i="11"/>
  <c r="B123" i="5"/>
  <c r="F123" i="5"/>
  <c r="H124" i="9"/>
  <c r="I124" i="9"/>
  <c r="B124" i="8"/>
  <c r="F124" i="8"/>
  <c r="B115" i="37"/>
  <c r="F115" i="37"/>
  <c r="B123" i="3"/>
  <c r="F123" i="3"/>
  <c r="B118" i="31"/>
  <c r="F118" i="31"/>
  <c r="I125" i="7"/>
  <c r="H125" i="7"/>
  <c r="I123" i="6"/>
  <c r="H123" i="6"/>
  <c r="B121" i="23"/>
  <c r="F121" i="23"/>
  <c r="H117" i="28"/>
  <c r="I117" i="28"/>
  <c r="B118" i="29"/>
  <c r="F118" i="29"/>
  <c r="H122" i="4"/>
  <c r="I122" i="4"/>
  <c r="H124" i="11"/>
  <c r="I124" i="11"/>
  <c r="H122" i="5"/>
  <c r="I122" i="5"/>
  <c r="H123" i="8"/>
  <c r="I123" i="8"/>
  <c r="B119" i="27"/>
  <c r="F119" i="27"/>
  <c r="B126" i="10"/>
  <c r="F126" i="10"/>
  <c r="H114" i="37"/>
  <c r="I114" i="37"/>
  <c r="H122" i="3"/>
  <c r="I122" i="3"/>
  <c r="F120" i="45" l="1"/>
  <c r="I119" i="45"/>
  <c r="H119" i="45"/>
  <c r="G120" i="45"/>
  <c r="D121" i="45"/>
  <c r="B121" i="45" s="1"/>
  <c r="E121" i="45"/>
  <c r="J118" i="45"/>
  <c r="F118" i="44"/>
  <c r="G118" i="44" s="1"/>
  <c r="D117" i="41"/>
  <c r="B117" i="41" s="1"/>
  <c r="I117" i="44"/>
  <c r="H117" i="44"/>
  <c r="H116" i="42"/>
  <c r="I116" i="42"/>
  <c r="I116" i="41"/>
  <c r="H116" i="41"/>
  <c r="J115" i="41"/>
  <c r="H116" i="38"/>
  <c r="I116" i="38"/>
  <c r="E117" i="42"/>
  <c r="F117" i="42" s="1"/>
  <c r="B117" i="42"/>
  <c r="E117" i="41"/>
  <c r="E117" i="38"/>
  <c r="F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D127" i="10"/>
  <c r="E127" i="10"/>
  <c r="J123" i="8"/>
  <c r="J124" i="11"/>
  <c r="G118" i="29"/>
  <c r="D119" i="29"/>
  <c r="E119" i="29"/>
  <c r="G121" i="23"/>
  <c r="D122" i="23"/>
  <c r="E122" i="23"/>
  <c r="G123" i="3"/>
  <c r="D124" i="3"/>
  <c r="E124" i="3"/>
  <c r="G124" i="8"/>
  <c r="D125" i="8"/>
  <c r="E125" i="8"/>
  <c r="G123" i="5"/>
  <c r="D124" i="5"/>
  <c r="E124" i="5"/>
  <c r="G123" i="4"/>
  <c r="D124" i="4"/>
  <c r="E124" i="4"/>
  <c r="G118" i="28"/>
  <c r="D119" i="28"/>
  <c r="E119" i="28"/>
  <c r="G124" i="6"/>
  <c r="D125" i="6"/>
  <c r="E125" i="6"/>
  <c r="G125" i="9"/>
  <c r="D126" i="9"/>
  <c r="E126" i="9"/>
  <c r="G122" i="25"/>
  <c r="D123" i="25"/>
  <c r="E123" i="25"/>
  <c r="G115" i="39"/>
  <c r="D116" i="39"/>
  <c r="E116" i="39"/>
  <c r="G114" i="40"/>
  <c r="D115" i="40"/>
  <c r="E115" i="40"/>
  <c r="G120" i="24"/>
  <c r="D121" i="24"/>
  <c r="E121" i="24"/>
  <c r="J117" i="31"/>
  <c r="G122" i="22"/>
  <c r="D123" i="22"/>
  <c r="E123" i="22"/>
  <c r="G115" i="43"/>
  <c r="D116" i="43"/>
  <c r="E116" i="43"/>
  <c r="G119" i="27"/>
  <c r="D120" i="27"/>
  <c r="E120" i="27"/>
  <c r="G118" i="31"/>
  <c r="D119" i="31"/>
  <c r="E119" i="31"/>
  <c r="G115" i="37"/>
  <c r="D116" i="37"/>
  <c r="E116" i="37"/>
  <c r="G125" i="11"/>
  <c r="D126" i="11"/>
  <c r="E126" i="11"/>
  <c r="G117" i="30"/>
  <c r="D118" i="30"/>
  <c r="E118" i="30"/>
  <c r="J114" i="43"/>
  <c r="J116" i="30"/>
  <c r="G126" i="7"/>
  <c r="D127" i="7"/>
  <c r="E127" i="7"/>
  <c r="J123" i="6"/>
  <c r="J121" i="25"/>
  <c r="J125" i="10"/>
  <c r="D119" i="44" l="1"/>
  <c r="J116" i="42"/>
  <c r="F117" i="41"/>
  <c r="D118" i="41" s="1"/>
  <c r="B118" i="41" s="1"/>
  <c r="I120" i="45"/>
  <c r="H120" i="45"/>
  <c r="F121" i="45"/>
  <c r="J119" i="45"/>
  <c r="J116" i="38"/>
  <c r="J117" i="44"/>
  <c r="E119" i="44"/>
  <c r="B119" i="44"/>
  <c r="H118" i="44"/>
  <c r="I118" i="44"/>
  <c r="G117" i="42"/>
  <c r="D118" i="42"/>
  <c r="D118" i="38"/>
  <c r="B118" i="38" s="1"/>
  <c r="G117" i="38"/>
  <c r="E118" i="38"/>
  <c r="J116" i="41"/>
  <c r="B116" i="37"/>
  <c r="F116" i="37"/>
  <c r="H118" i="31"/>
  <c r="I118" i="31"/>
  <c r="B123" i="22"/>
  <c r="F123" i="22"/>
  <c r="B121" i="24"/>
  <c r="F121" i="24"/>
  <c r="H114" i="40"/>
  <c r="I114" i="40"/>
  <c r="B126" i="9"/>
  <c r="F126" i="9"/>
  <c r="H124" i="6"/>
  <c r="I124" i="6"/>
  <c r="B124" i="5"/>
  <c r="F124" i="5"/>
  <c r="I124" i="8"/>
  <c r="H124" i="8"/>
  <c r="B119" i="29"/>
  <c r="F119" i="29"/>
  <c r="B127" i="7"/>
  <c r="F127" i="7"/>
  <c r="B126" i="11"/>
  <c r="F126" i="11"/>
  <c r="I115" i="37"/>
  <c r="H115" i="37"/>
  <c r="B116" i="43"/>
  <c r="F116" i="43"/>
  <c r="I122" i="22"/>
  <c r="H122" i="22"/>
  <c r="H120" i="24"/>
  <c r="I120" i="24"/>
  <c r="B123" i="25"/>
  <c r="F123" i="25"/>
  <c r="H125" i="9"/>
  <c r="I125" i="9"/>
  <c r="B124" i="4"/>
  <c r="F124" i="4"/>
  <c r="H123" i="5"/>
  <c r="I123" i="5"/>
  <c r="B122" i="23"/>
  <c r="F122" i="23"/>
  <c r="H118" i="29"/>
  <c r="I118" i="29"/>
  <c r="B127" i="10"/>
  <c r="F127" i="10"/>
  <c r="B118" i="30"/>
  <c r="F118" i="30"/>
  <c r="H125" i="11"/>
  <c r="I125" i="11"/>
  <c r="B120" i="27"/>
  <c r="F120" i="27"/>
  <c r="H115" i="43"/>
  <c r="I115" i="43"/>
  <c r="B116" i="39"/>
  <c r="F116" i="39"/>
  <c r="H122" i="25"/>
  <c r="I122" i="25"/>
  <c r="B119" i="28"/>
  <c r="F119" i="28"/>
  <c r="I123" i="4"/>
  <c r="H123" i="4"/>
  <c r="B124" i="3"/>
  <c r="F124" i="3"/>
  <c r="I121" i="23"/>
  <c r="H121" i="23"/>
  <c r="H126" i="10"/>
  <c r="I126" i="10"/>
  <c r="I126" i="7"/>
  <c r="H126" i="7"/>
  <c r="H117" i="30"/>
  <c r="I117" i="30"/>
  <c r="B119" i="31"/>
  <c r="F119" i="31"/>
  <c r="I119" i="27"/>
  <c r="H119" i="27"/>
  <c r="B115" i="40"/>
  <c r="F115" i="40"/>
  <c r="H115" i="39"/>
  <c r="I115" i="39"/>
  <c r="B125" i="6"/>
  <c r="F125" i="6"/>
  <c r="H118" i="28"/>
  <c r="I118" i="28"/>
  <c r="B125" i="8"/>
  <c r="F125" i="8"/>
  <c r="H123" i="3"/>
  <c r="I123" i="3"/>
  <c r="G117" i="41" l="1"/>
  <c r="F119" i="44"/>
  <c r="D120" i="44" s="1"/>
  <c r="B120" i="44" s="1"/>
  <c r="E118" i="41"/>
  <c r="J118" i="44"/>
  <c r="G121" i="45"/>
  <c r="D122" i="45"/>
  <c r="E122" i="45" s="1"/>
  <c r="J120" i="45"/>
  <c r="F118" i="38"/>
  <c r="E119" i="38" s="1"/>
  <c r="H117" i="38"/>
  <c r="I117" i="38"/>
  <c r="H117" i="41"/>
  <c r="I117" i="41"/>
  <c r="E118" i="42"/>
  <c r="F118" i="42" s="1"/>
  <c r="B118" i="42"/>
  <c r="F118" i="41"/>
  <c r="H117" i="42"/>
  <c r="I117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D120" i="28"/>
  <c r="E120" i="28"/>
  <c r="G116" i="39"/>
  <c r="D117" i="39"/>
  <c r="E117" i="39"/>
  <c r="G120" i="27"/>
  <c r="D121" i="27"/>
  <c r="E121" i="27"/>
  <c r="G118" i="30"/>
  <c r="D119" i="30"/>
  <c r="E119" i="30"/>
  <c r="J118" i="29"/>
  <c r="J123" i="5"/>
  <c r="J125" i="9"/>
  <c r="J120" i="24"/>
  <c r="G116" i="43"/>
  <c r="D117" i="43"/>
  <c r="E117" i="43"/>
  <c r="G126" i="11"/>
  <c r="D127" i="11"/>
  <c r="E127" i="11"/>
  <c r="G119" i="29"/>
  <c r="D120" i="29"/>
  <c r="E120" i="29"/>
  <c r="G124" i="5"/>
  <c r="D125" i="5"/>
  <c r="E125" i="5"/>
  <c r="G126" i="9"/>
  <c r="D127" i="9"/>
  <c r="E127" i="9"/>
  <c r="G121" i="24"/>
  <c r="D122" i="24"/>
  <c r="E122" i="24"/>
  <c r="G125" i="8"/>
  <c r="D126" i="8"/>
  <c r="E126" i="8" s="1"/>
  <c r="G125" i="6"/>
  <c r="D126" i="6"/>
  <c r="E126" i="6"/>
  <c r="G115" i="40"/>
  <c r="D116" i="40"/>
  <c r="E116" i="40"/>
  <c r="G119" i="31"/>
  <c r="D120" i="31"/>
  <c r="E120" i="31"/>
  <c r="J122" i="25"/>
  <c r="J115" i="43"/>
  <c r="J125" i="11"/>
  <c r="G127" i="10"/>
  <c r="D128" i="10"/>
  <c r="E128" i="10"/>
  <c r="G122" i="23"/>
  <c r="D123" i="23"/>
  <c r="E123" i="23"/>
  <c r="G124" i="4"/>
  <c r="D125" i="4"/>
  <c r="E125" i="4"/>
  <c r="G123" i="25"/>
  <c r="D124" i="25"/>
  <c r="E124" i="25"/>
  <c r="G127" i="7"/>
  <c r="D128" i="7"/>
  <c r="E128" i="7"/>
  <c r="J114" i="40"/>
  <c r="G123" i="22"/>
  <c r="D124" i="22"/>
  <c r="E124" i="22"/>
  <c r="G116" i="37"/>
  <c r="D117" i="37"/>
  <c r="E117" i="37"/>
  <c r="J124" i="8"/>
  <c r="E120" i="44" l="1"/>
  <c r="D119" i="38"/>
  <c r="B119" i="38" s="1"/>
  <c r="G119" i="44"/>
  <c r="H119" i="44" s="1"/>
  <c r="G118" i="38"/>
  <c r="H118" i="38" s="1"/>
  <c r="B122" i="45"/>
  <c r="F122" i="45"/>
  <c r="I121" i="45"/>
  <c r="H121" i="45"/>
  <c r="F120" i="44"/>
  <c r="D121" i="44" s="1"/>
  <c r="B121" i="44" s="1"/>
  <c r="F119" i="38"/>
  <c r="G119" i="38" s="1"/>
  <c r="G118" i="42"/>
  <c r="D119" i="42"/>
  <c r="B119" i="42" s="1"/>
  <c r="E119" i="42"/>
  <c r="D119" i="41"/>
  <c r="G118" i="41"/>
  <c r="J117" i="41"/>
  <c r="J117" i="42"/>
  <c r="J117" i="38"/>
  <c r="H116" i="37"/>
  <c r="I116" i="37"/>
  <c r="B124" i="25"/>
  <c r="F124" i="25"/>
  <c r="H124" i="4"/>
  <c r="I124" i="4"/>
  <c r="H119" i="31"/>
  <c r="I119" i="31"/>
  <c r="B126" i="8"/>
  <c r="F126" i="8"/>
  <c r="H121" i="24"/>
  <c r="I121" i="24"/>
  <c r="B120" i="29"/>
  <c r="F120" i="29"/>
  <c r="H126" i="11"/>
  <c r="I126" i="11"/>
  <c r="B121" i="27"/>
  <c r="F121" i="27"/>
  <c r="H116" i="39"/>
  <c r="I116" i="39"/>
  <c r="B128" i="7"/>
  <c r="F128" i="7"/>
  <c r="B128" i="10"/>
  <c r="F128" i="10"/>
  <c r="B126" i="6"/>
  <c r="F126" i="6"/>
  <c r="H125" i="8"/>
  <c r="I125" i="8"/>
  <c r="B125" i="5"/>
  <c r="F125" i="5"/>
  <c r="H119" i="29"/>
  <c r="I119" i="29"/>
  <c r="B119" i="30"/>
  <c r="F119" i="30"/>
  <c r="H120" i="27"/>
  <c r="I120" i="27"/>
  <c r="B125" i="3"/>
  <c r="F125" i="3"/>
  <c r="B124" i="22"/>
  <c r="F124" i="22"/>
  <c r="H123" i="25"/>
  <c r="I123" i="25"/>
  <c r="B117" i="37"/>
  <c r="F117" i="37"/>
  <c r="H123" i="22"/>
  <c r="I123" i="22"/>
  <c r="H127" i="7"/>
  <c r="I127" i="7"/>
  <c r="B123" i="23"/>
  <c r="F123" i="23"/>
  <c r="H127" i="10"/>
  <c r="I127" i="10"/>
  <c r="B116" i="40"/>
  <c r="F116" i="40"/>
  <c r="I125" i="6"/>
  <c r="H125" i="6"/>
  <c r="B127" i="9"/>
  <c r="F127" i="9"/>
  <c r="I124" i="5"/>
  <c r="H124" i="5"/>
  <c r="B117" i="43"/>
  <c r="F117" i="43"/>
  <c r="I118" i="30"/>
  <c r="H118" i="30"/>
  <c r="B120" i="28"/>
  <c r="F120" i="28"/>
  <c r="H124" i="3"/>
  <c r="I124" i="3"/>
  <c r="B125" i="4"/>
  <c r="F125" i="4"/>
  <c r="H122" i="23"/>
  <c r="I122" i="23"/>
  <c r="B120" i="31"/>
  <c r="F120" i="31"/>
  <c r="I115" i="40"/>
  <c r="H115" i="40"/>
  <c r="B122" i="24"/>
  <c r="F122" i="24"/>
  <c r="H126" i="9"/>
  <c r="I126" i="9"/>
  <c r="B127" i="11"/>
  <c r="F127" i="11"/>
  <c r="H116" i="43"/>
  <c r="I116" i="43"/>
  <c r="B117" i="39"/>
  <c r="F117" i="39"/>
  <c r="H119" i="28"/>
  <c r="I119" i="28"/>
  <c r="I119" i="44" l="1"/>
  <c r="I118" i="38"/>
  <c r="D120" i="38"/>
  <c r="B120" i="38" s="1"/>
  <c r="E121" i="44"/>
  <c r="F121" i="44" s="1"/>
  <c r="G121" i="44" s="1"/>
  <c r="J121" i="45"/>
  <c r="G122" i="45"/>
  <c r="D123" i="45"/>
  <c r="B123" i="45" s="1"/>
  <c r="G120" i="44"/>
  <c r="I120" i="44" s="1"/>
  <c r="F119" i="42"/>
  <c r="G119" i="42" s="1"/>
  <c r="J119" i="44"/>
  <c r="J118" i="38"/>
  <c r="E120" i="38"/>
  <c r="E119" i="41"/>
  <c r="F119" i="41" s="1"/>
  <c r="B119" i="41"/>
  <c r="H119" i="38"/>
  <c r="I119" i="38"/>
  <c r="H118" i="41"/>
  <c r="I118" i="41"/>
  <c r="H118" i="42"/>
  <c r="I118" i="42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D118" i="37"/>
  <c r="E118" i="37"/>
  <c r="G124" i="22"/>
  <c r="D125" i="22"/>
  <c r="E125" i="22" s="1"/>
  <c r="J119" i="29"/>
  <c r="J125" i="8"/>
  <c r="G128" i="10"/>
  <c r="D129" i="10"/>
  <c r="E129" i="10" s="1"/>
  <c r="J116" i="39"/>
  <c r="J126" i="11"/>
  <c r="J121" i="24"/>
  <c r="J119" i="31"/>
  <c r="G124" i="25"/>
  <c r="D125" i="25"/>
  <c r="E125" i="25"/>
  <c r="G117" i="39"/>
  <c r="D118" i="39"/>
  <c r="E118" i="39"/>
  <c r="D128" i="11"/>
  <c r="E128" i="11" s="1"/>
  <c r="G127" i="11"/>
  <c r="G122" i="24"/>
  <c r="D123" i="24"/>
  <c r="E123" i="24"/>
  <c r="G120" i="31"/>
  <c r="D121" i="31"/>
  <c r="E121" i="31"/>
  <c r="G125" i="4"/>
  <c r="D126" i="4"/>
  <c r="E126" i="4"/>
  <c r="G120" i="28"/>
  <c r="D121" i="28"/>
  <c r="E121" i="28"/>
  <c r="G117" i="43"/>
  <c r="D118" i="43"/>
  <c r="E118" i="43"/>
  <c r="G127" i="9"/>
  <c r="D128" i="9"/>
  <c r="E128" i="9" s="1"/>
  <c r="G116" i="40"/>
  <c r="D117" i="40"/>
  <c r="E117" i="40"/>
  <c r="G123" i="23"/>
  <c r="D124" i="23"/>
  <c r="E124" i="23"/>
  <c r="J123" i="22"/>
  <c r="J123" i="25"/>
  <c r="G125" i="3"/>
  <c r="D126" i="3"/>
  <c r="E126" i="3"/>
  <c r="G119" i="30"/>
  <c r="D120" i="30"/>
  <c r="E120" i="30"/>
  <c r="G125" i="5"/>
  <c r="D126" i="5"/>
  <c r="E126" i="5" s="1"/>
  <c r="G126" i="6"/>
  <c r="D127" i="6"/>
  <c r="E127" i="6" s="1"/>
  <c r="G128" i="7"/>
  <c r="D129" i="7"/>
  <c r="E129" i="7" s="1"/>
  <c r="G121" i="27"/>
  <c r="D122" i="27"/>
  <c r="E122" i="27"/>
  <c r="G120" i="29"/>
  <c r="D121" i="29"/>
  <c r="E121" i="29"/>
  <c r="G126" i="8"/>
  <c r="D127" i="8"/>
  <c r="E127" i="8" s="1"/>
  <c r="F120" i="38" l="1"/>
  <c r="J118" i="41"/>
  <c r="E123" i="45"/>
  <c r="F123" i="45" s="1"/>
  <c r="G123" i="45" s="1"/>
  <c r="J119" i="38"/>
  <c r="D122" i="44"/>
  <c r="B122" i="44" s="1"/>
  <c r="H120" i="44"/>
  <c r="J120" i="44" s="1"/>
  <c r="D120" i="42"/>
  <c r="B120" i="42" s="1"/>
  <c r="I122" i="45"/>
  <c r="H122" i="45"/>
  <c r="H121" i="44"/>
  <c r="I121" i="44"/>
  <c r="J118" i="42"/>
  <c r="D120" i="41"/>
  <c r="G119" i="41"/>
  <c r="G120" i="38"/>
  <c r="D121" i="38"/>
  <c r="B121" i="38" s="1"/>
  <c r="E121" i="38"/>
  <c r="H119" i="42"/>
  <c r="I119" i="42"/>
  <c r="E120" i="42"/>
  <c r="B127" i="8"/>
  <c r="F127" i="8"/>
  <c r="H126" i="8"/>
  <c r="I126" i="8"/>
  <c r="B129" i="7"/>
  <c r="F129" i="7"/>
  <c r="H126" i="6"/>
  <c r="I126" i="6"/>
  <c r="B126" i="3"/>
  <c r="F126" i="3"/>
  <c r="B117" i="40"/>
  <c r="F117" i="40"/>
  <c r="H127" i="9"/>
  <c r="I127" i="9"/>
  <c r="B126" i="4"/>
  <c r="F126" i="4"/>
  <c r="H120" i="31"/>
  <c r="I120" i="31"/>
  <c r="B118" i="39"/>
  <c r="F118" i="39"/>
  <c r="H124" i="25"/>
  <c r="I124" i="25"/>
  <c r="I124" i="22"/>
  <c r="H124" i="22"/>
  <c r="B121" i="29"/>
  <c r="F121" i="29"/>
  <c r="B122" i="27"/>
  <c r="F122" i="27"/>
  <c r="H128" i="7"/>
  <c r="I128" i="7"/>
  <c r="B120" i="30"/>
  <c r="F120" i="30"/>
  <c r="H125" i="3"/>
  <c r="I125" i="3"/>
  <c r="B124" i="23"/>
  <c r="F124" i="23"/>
  <c r="H116" i="40"/>
  <c r="I116" i="40"/>
  <c r="B121" i="28"/>
  <c r="F121" i="28"/>
  <c r="I125" i="4"/>
  <c r="H125" i="4"/>
  <c r="H127" i="11"/>
  <c r="I127" i="11"/>
  <c r="H117" i="39"/>
  <c r="I117" i="39"/>
  <c r="I121" i="27"/>
  <c r="H121" i="27"/>
  <c r="B126" i="5"/>
  <c r="F126" i="5"/>
  <c r="H119" i="30"/>
  <c r="I119" i="30"/>
  <c r="H123" i="23"/>
  <c r="I123" i="23"/>
  <c r="B118" i="43"/>
  <c r="F118" i="43"/>
  <c r="H120" i="28"/>
  <c r="I120" i="28"/>
  <c r="B123" i="24"/>
  <c r="F123" i="24"/>
  <c r="B128" i="11"/>
  <c r="F128" i="11"/>
  <c r="B129" i="10"/>
  <c r="F129" i="10"/>
  <c r="B118" i="37"/>
  <c r="F118" i="37"/>
  <c r="H120" i="29"/>
  <c r="I120" i="29"/>
  <c r="B127" i="6"/>
  <c r="F127" i="6"/>
  <c r="H125" i="5"/>
  <c r="I125" i="5"/>
  <c r="B128" i="9"/>
  <c r="F128" i="9"/>
  <c r="H117" i="43"/>
  <c r="I117" i="43"/>
  <c r="B121" i="31"/>
  <c r="F121" i="31"/>
  <c r="H122" i="24"/>
  <c r="I122" i="24"/>
  <c r="B125" i="25"/>
  <c r="F125" i="25"/>
  <c r="H128" i="10"/>
  <c r="I128" i="10"/>
  <c r="B125" i="22"/>
  <c r="F125" i="22"/>
  <c r="H117" i="37"/>
  <c r="I117" i="37"/>
  <c r="E122" i="44" l="1"/>
  <c r="F122" i="44"/>
  <c r="D123" i="44" s="1"/>
  <c r="B123" i="44" s="1"/>
  <c r="D124" i="45"/>
  <c r="B124" i="45" s="1"/>
  <c r="F120" i="42"/>
  <c r="G120" i="42" s="1"/>
  <c r="J122" i="45"/>
  <c r="H123" i="45"/>
  <c r="I123" i="45"/>
  <c r="J121" i="44"/>
  <c r="J119" i="42"/>
  <c r="H120" i="38"/>
  <c r="I120" i="38"/>
  <c r="I119" i="41"/>
  <c r="H119" i="41"/>
  <c r="F121" i="38"/>
  <c r="E120" i="41"/>
  <c r="F120" i="41" s="1"/>
  <c r="B120" i="41"/>
  <c r="J125" i="4"/>
  <c r="J121" i="27"/>
  <c r="J124" i="22"/>
  <c r="J117" i="37"/>
  <c r="J128" i="10"/>
  <c r="J122" i="24"/>
  <c r="J117" i="43"/>
  <c r="J125" i="5"/>
  <c r="J120" i="29"/>
  <c r="G129" i="10"/>
  <c r="D130" i="10"/>
  <c r="E130" i="10" s="1"/>
  <c r="G123" i="24"/>
  <c r="D124" i="24"/>
  <c r="E124" i="24" s="1"/>
  <c r="G118" i="43"/>
  <c r="D119" i="43"/>
  <c r="E119" i="43"/>
  <c r="J119" i="30"/>
  <c r="J127" i="11"/>
  <c r="G121" i="28"/>
  <c r="D122" i="28"/>
  <c r="E122" i="28"/>
  <c r="G124" i="23"/>
  <c r="D125" i="23"/>
  <c r="E125" i="23" s="1"/>
  <c r="G120" i="30"/>
  <c r="D121" i="30"/>
  <c r="E121" i="30"/>
  <c r="G122" i="27"/>
  <c r="D123" i="27"/>
  <c r="E123" i="27" s="1"/>
  <c r="G118" i="39"/>
  <c r="D119" i="39"/>
  <c r="E119" i="39"/>
  <c r="G126" i="4"/>
  <c r="D127" i="4"/>
  <c r="E127" i="4" s="1"/>
  <c r="G117" i="40"/>
  <c r="D118" i="40"/>
  <c r="E118" i="40"/>
  <c r="J126" i="6"/>
  <c r="J126" i="8"/>
  <c r="G125" i="22"/>
  <c r="D126" i="22"/>
  <c r="E126" i="22" s="1"/>
  <c r="G125" i="25"/>
  <c r="D126" i="25"/>
  <c r="E126" i="25"/>
  <c r="G121" i="31"/>
  <c r="D122" i="31"/>
  <c r="E122" i="31"/>
  <c r="G128" i="9"/>
  <c r="D129" i="9"/>
  <c r="E129" i="9" s="1"/>
  <c r="G127" i="6"/>
  <c r="D128" i="6"/>
  <c r="E128" i="6"/>
  <c r="G118" i="37"/>
  <c r="D119" i="37"/>
  <c r="E119" i="37"/>
  <c r="G128" i="11"/>
  <c r="D129" i="11"/>
  <c r="E129" i="11" s="1"/>
  <c r="J120" i="28"/>
  <c r="J123" i="23"/>
  <c r="G126" i="5"/>
  <c r="D127" i="5"/>
  <c r="E127" i="5"/>
  <c r="J117" i="39"/>
  <c r="J116" i="40"/>
  <c r="J125" i="3"/>
  <c r="J128" i="7"/>
  <c r="G121" i="29"/>
  <c r="D122" i="29"/>
  <c r="E122" i="29"/>
  <c r="J124" i="25"/>
  <c r="J120" i="31"/>
  <c r="J127" i="9"/>
  <c r="G126" i="3"/>
  <c r="D127" i="3"/>
  <c r="E127" i="3"/>
  <c r="G129" i="7"/>
  <c r="D130" i="7"/>
  <c r="E130" i="7"/>
  <c r="G127" i="8"/>
  <c r="D128" i="8"/>
  <c r="E128" i="8" s="1"/>
  <c r="D121" i="42" l="1"/>
  <c r="B121" i="42" s="1"/>
  <c r="J123" i="45"/>
  <c r="E123" i="44"/>
  <c r="F123" i="44" s="1"/>
  <c r="D124" i="44" s="1"/>
  <c r="B124" i="44" s="1"/>
  <c r="G122" i="44"/>
  <c r="H122" i="44" s="1"/>
  <c r="E124" i="45"/>
  <c r="F124" i="45" s="1"/>
  <c r="J120" i="38"/>
  <c r="D122" i="38"/>
  <c r="G121" i="38"/>
  <c r="D121" i="41"/>
  <c r="B121" i="41" s="1"/>
  <c r="G120" i="41"/>
  <c r="E121" i="42"/>
  <c r="F121" i="42" s="1"/>
  <c r="J119" i="41"/>
  <c r="I120" i="42"/>
  <c r="H120" i="42"/>
  <c r="B128" i="8"/>
  <c r="F128" i="8"/>
  <c r="H129" i="7"/>
  <c r="I129" i="7"/>
  <c r="B122" i="29"/>
  <c r="F122" i="29"/>
  <c r="I126" i="5"/>
  <c r="H126" i="5"/>
  <c r="B129" i="11"/>
  <c r="F129" i="11"/>
  <c r="H118" i="37"/>
  <c r="I118" i="37"/>
  <c r="B122" i="31"/>
  <c r="F122" i="31"/>
  <c r="H125" i="25"/>
  <c r="I125" i="25"/>
  <c r="H117" i="40"/>
  <c r="I117" i="40"/>
  <c r="B123" i="27"/>
  <c r="F123" i="27"/>
  <c r="H120" i="30"/>
  <c r="I120" i="30"/>
  <c r="B130" i="10"/>
  <c r="F130" i="10"/>
  <c r="I127" i="8"/>
  <c r="H127" i="8"/>
  <c r="I121" i="29"/>
  <c r="H121" i="29"/>
  <c r="H128" i="11"/>
  <c r="I128" i="11"/>
  <c r="B129" i="9"/>
  <c r="F129" i="9"/>
  <c r="H121" i="31"/>
  <c r="I121" i="31"/>
  <c r="B119" i="39"/>
  <c r="F119" i="39"/>
  <c r="H122" i="27"/>
  <c r="I122" i="27"/>
  <c r="B122" i="28"/>
  <c r="F122" i="28"/>
  <c r="B124" i="24"/>
  <c r="F124" i="24"/>
  <c r="H129" i="10"/>
  <c r="I129" i="10"/>
  <c r="B127" i="3"/>
  <c r="F127" i="3"/>
  <c r="B128" i="6"/>
  <c r="F128" i="6"/>
  <c r="H128" i="9"/>
  <c r="I128" i="9"/>
  <c r="B126" i="22"/>
  <c r="F126" i="22"/>
  <c r="B127" i="4"/>
  <c r="F127" i="4"/>
  <c r="H118" i="39"/>
  <c r="I118" i="39"/>
  <c r="B125" i="23"/>
  <c r="F125" i="23"/>
  <c r="I121" i="28"/>
  <c r="H121" i="28"/>
  <c r="B119" i="43"/>
  <c r="F119" i="43"/>
  <c r="H123" i="24"/>
  <c r="I123" i="24"/>
  <c r="B130" i="7"/>
  <c r="F130" i="7"/>
  <c r="H126" i="3"/>
  <c r="I126" i="3"/>
  <c r="B127" i="5"/>
  <c r="F127" i="5"/>
  <c r="B119" i="37"/>
  <c r="F119" i="37"/>
  <c r="I127" i="6"/>
  <c r="H127" i="6"/>
  <c r="B126" i="25"/>
  <c r="F126" i="25"/>
  <c r="I125" i="22"/>
  <c r="H125" i="22"/>
  <c r="B118" i="40"/>
  <c r="F118" i="40"/>
  <c r="H126" i="4"/>
  <c r="I126" i="4"/>
  <c r="B121" i="30"/>
  <c r="F121" i="30"/>
  <c r="H124" i="23"/>
  <c r="I124" i="23"/>
  <c r="H118" i="43"/>
  <c r="I118" i="43"/>
  <c r="G123" i="44" l="1"/>
  <c r="I122" i="44"/>
  <c r="J122" i="44" s="1"/>
  <c r="D125" i="45"/>
  <c r="B125" i="45" s="1"/>
  <c r="E125" i="45"/>
  <c r="F125" i="45" s="1"/>
  <c r="G124" i="45"/>
  <c r="I124" i="45" s="1"/>
  <c r="E124" i="44"/>
  <c r="F124" i="44" s="1"/>
  <c r="E121" i="41"/>
  <c r="F121" i="41" s="1"/>
  <c r="H123" i="44"/>
  <c r="I123" i="44"/>
  <c r="D122" i="42"/>
  <c r="B122" i="42" s="1"/>
  <c r="G121" i="42"/>
  <c r="E122" i="42"/>
  <c r="J120" i="42"/>
  <c r="I121" i="38"/>
  <c r="H121" i="38"/>
  <c r="E122" i="38"/>
  <c r="F122" i="38" s="1"/>
  <c r="B122" i="38"/>
  <c r="H120" i="41"/>
  <c r="I120" i="41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D122" i="30"/>
  <c r="E122" i="30"/>
  <c r="G118" i="40"/>
  <c r="D119" i="40"/>
  <c r="E119" i="40"/>
  <c r="G126" i="25"/>
  <c r="D127" i="25"/>
  <c r="E127" i="25" s="1"/>
  <c r="G119" i="37"/>
  <c r="D120" i="37"/>
  <c r="E120" i="37"/>
  <c r="J126" i="3"/>
  <c r="J123" i="24"/>
  <c r="J118" i="39"/>
  <c r="G126" i="22"/>
  <c r="D127" i="22"/>
  <c r="E127" i="22" s="1"/>
  <c r="G128" i="6"/>
  <c r="D129" i="6"/>
  <c r="E129" i="6" s="1"/>
  <c r="J129" i="10"/>
  <c r="G122" i="28"/>
  <c r="D123" i="28"/>
  <c r="E123" i="28" s="1"/>
  <c r="G119" i="39"/>
  <c r="D120" i="39"/>
  <c r="E120" i="39"/>
  <c r="G129" i="9"/>
  <c r="D130" i="9"/>
  <c r="E130" i="9"/>
  <c r="G130" i="10"/>
  <c r="D131" i="10"/>
  <c r="E131" i="10" s="1"/>
  <c r="G123" i="27"/>
  <c r="D124" i="27"/>
  <c r="E124" i="27" s="1"/>
  <c r="J126" i="5"/>
  <c r="J126" i="4"/>
  <c r="G127" i="5"/>
  <c r="D128" i="5"/>
  <c r="E128" i="5" s="1"/>
  <c r="G130" i="7"/>
  <c r="D131" i="7"/>
  <c r="E131" i="7" s="1"/>
  <c r="G119" i="43"/>
  <c r="D120" i="43"/>
  <c r="E120" i="43"/>
  <c r="G125" i="23"/>
  <c r="D126" i="23"/>
  <c r="E126" i="23"/>
  <c r="G127" i="4"/>
  <c r="D128" i="4"/>
  <c r="E128" i="4" s="1"/>
  <c r="G127" i="3"/>
  <c r="D128" i="3"/>
  <c r="E128" i="3" s="1"/>
  <c r="G124" i="24"/>
  <c r="D125" i="24"/>
  <c r="E125" i="24"/>
  <c r="J128" i="11"/>
  <c r="J120" i="30"/>
  <c r="J117" i="40"/>
  <c r="G122" i="31"/>
  <c r="D123" i="31"/>
  <c r="E123" i="31" s="1"/>
  <c r="G129" i="11"/>
  <c r="D130" i="11"/>
  <c r="E130" i="11" s="1"/>
  <c r="G122" i="29"/>
  <c r="D123" i="29"/>
  <c r="E123" i="29"/>
  <c r="G128" i="8"/>
  <c r="D129" i="8"/>
  <c r="E129" i="8"/>
  <c r="H124" i="45" l="1"/>
  <c r="G124" i="44"/>
  <c r="D125" i="44"/>
  <c r="B125" i="44" s="1"/>
  <c r="E125" i="44"/>
  <c r="J124" i="45"/>
  <c r="J123" i="44"/>
  <c r="G125" i="45"/>
  <c r="D126" i="45"/>
  <c r="E126" i="45" s="1"/>
  <c r="J120" i="41"/>
  <c r="I124" i="44"/>
  <c r="H124" i="44"/>
  <c r="F122" i="42"/>
  <c r="G122" i="42" s="1"/>
  <c r="J121" i="38"/>
  <c r="G122" i="38"/>
  <c r="D123" i="38"/>
  <c r="G121" i="41"/>
  <c r="D122" i="41"/>
  <c r="H121" i="42"/>
  <c r="I121" i="42"/>
  <c r="B130" i="11"/>
  <c r="F130" i="11"/>
  <c r="B123" i="29"/>
  <c r="F123" i="29"/>
  <c r="H129" i="11"/>
  <c r="I129" i="11"/>
  <c r="B125" i="24"/>
  <c r="F125" i="24"/>
  <c r="I127" i="3"/>
  <c r="H127" i="3"/>
  <c r="B120" i="43"/>
  <c r="F120" i="43"/>
  <c r="H130" i="7"/>
  <c r="I130" i="7"/>
  <c r="H123" i="27"/>
  <c r="I123" i="27"/>
  <c r="B120" i="39"/>
  <c r="F120" i="39"/>
  <c r="H122" i="28"/>
  <c r="I122" i="28"/>
  <c r="H128" i="6"/>
  <c r="I128" i="6"/>
  <c r="B120" i="37"/>
  <c r="F120" i="37"/>
  <c r="H126" i="25"/>
  <c r="I126" i="25"/>
  <c r="B129" i="8"/>
  <c r="F129" i="8"/>
  <c r="H122" i="29"/>
  <c r="I122" i="29"/>
  <c r="H124" i="24"/>
  <c r="I124" i="24"/>
  <c r="B126" i="23"/>
  <c r="F126" i="23"/>
  <c r="H119" i="43"/>
  <c r="I119" i="43"/>
  <c r="B130" i="9"/>
  <c r="F130" i="9"/>
  <c r="H119" i="39"/>
  <c r="I119" i="39"/>
  <c r="H119" i="37"/>
  <c r="I119" i="37"/>
  <c r="B122" i="30"/>
  <c r="F122" i="30"/>
  <c r="H128" i="8"/>
  <c r="I128" i="8"/>
  <c r="B128" i="4"/>
  <c r="F128" i="4"/>
  <c r="I125" i="23"/>
  <c r="H125" i="23"/>
  <c r="B128" i="5"/>
  <c r="F128" i="5"/>
  <c r="B131" i="10"/>
  <c r="F131" i="10"/>
  <c r="H129" i="9"/>
  <c r="I129" i="9"/>
  <c r="B127" i="22"/>
  <c r="F127" i="22"/>
  <c r="B119" i="40"/>
  <c r="F119" i="40"/>
  <c r="H121" i="30"/>
  <c r="I121" i="30"/>
  <c r="B123" i="31"/>
  <c r="F123" i="31"/>
  <c r="I122" i="31"/>
  <c r="H122" i="31"/>
  <c r="B128" i="3"/>
  <c r="F128" i="3"/>
  <c r="H127" i="4"/>
  <c r="I127" i="4"/>
  <c r="B131" i="7"/>
  <c r="F131" i="7"/>
  <c r="H127" i="5"/>
  <c r="I127" i="5"/>
  <c r="B124" i="27"/>
  <c r="F124" i="27"/>
  <c r="I130" i="10"/>
  <c r="H130" i="10"/>
  <c r="B123" i="28"/>
  <c r="F123" i="28"/>
  <c r="B129" i="6"/>
  <c r="F129" i="6"/>
  <c r="H126" i="22"/>
  <c r="I126" i="22"/>
  <c r="B127" i="25"/>
  <c r="F127" i="25"/>
  <c r="H118" i="40"/>
  <c r="I118" i="40"/>
  <c r="F125" i="44" l="1"/>
  <c r="D123" i="42"/>
  <c r="H125" i="45"/>
  <c r="I125" i="45"/>
  <c r="J125" i="45" s="1"/>
  <c r="B126" i="45"/>
  <c r="F126" i="45"/>
  <c r="G125" i="44"/>
  <c r="D126" i="44"/>
  <c r="J124" i="44"/>
  <c r="J121" i="42"/>
  <c r="E122" i="41"/>
  <c r="F122" i="41" s="1"/>
  <c r="B122" i="41"/>
  <c r="I121" i="41"/>
  <c r="H121" i="41"/>
  <c r="E123" i="42"/>
  <c r="F123" i="42" s="1"/>
  <c r="B123" i="42"/>
  <c r="E123" i="38"/>
  <c r="F123" i="38" s="1"/>
  <c r="B123" i="38"/>
  <c r="H122" i="42"/>
  <c r="I122" i="42"/>
  <c r="I122" i="38"/>
  <c r="H122" i="38"/>
  <c r="J127" i="5"/>
  <c r="J122" i="29"/>
  <c r="J127" i="4"/>
  <c r="J121" i="30"/>
  <c r="J128" i="8"/>
  <c r="J119" i="37"/>
  <c r="J126" i="25"/>
  <c r="J127" i="3"/>
  <c r="G127" i="25"/>
  <c r="D128" i="25"/>
  <c r="E128" i="25" s="1"/>
  <c r="J118" i="40"/>
  <c r="J126" i="22"/>
  <c r="G123" i="28"/>
  <c r="D124" i="28"/>
  <c r="E124" i="28" s="1"/>
  <c r="G124" i="27"/>
  <c r="D125" i="27"/>
  <c r="E125" i="27" s="1"/>
  <c r="G131" i="7"/>
  <c r="D132" i="7"/>
  <c r="E132" i="7" s="1"/>
  <c r="G128" i="3"/>
  <c r="D129" i="3"/>
  <c r="E129" i="3"/>
  <c r="G123" i="31"/>
  <c r="D124" i="31"/>
  <c r="E124" i="31"/>
  <c r="G119" i="40"/>
  <c r="D120" i="40"/>
  <c r="E120" i="40"/>
  <c r="J129" i="9"/>
  <c r="G128" i="5"/>
  <c r="D129" i="5"/>
  <c r="E129" i="5" s="1"/>
  <c r="G128" i="4"/>
  <c r="D129" i="4"/>
  <c r="E129" i="4" s="1"/>
  <c r="G122" i="30"/>
  <c r="D123" i="30"/>
  <c r="E123" i="30" s="1"/>
  <c r="J119" i="39"/>
  <c r="J119" i="43"/>
  <c r="J124" i="24"/>
  <c r="G129" i="8"/>
  <c r="D130" i="8"/>
  <c r="E130" i="8" s="1"/>
  <c r="G120" i="37"/>
  <c r="D121" i="37"/>
  <c r="E121" i="37" s="1"/>
  <c r="J122" i="28"/>
  <c r="J123" i="27"/>
  <c r="G120" i="43"/>
  <c r="D121" i="43"/>
  <c r="E121" i="43" s="1"/>
  <c r="G125" i="24"/>
  <c r="D126" i="24"/>
  <c r="E126" i="24" s="1"/>
  <c r="G123" i="29"/>
  <c r="D124" i="29"/>
  <c r="E124" i="29" s="1"/>
  <c r="G129" i="6"/>
  <c r="D130" i="6"/>
  <c r="E130" i="6" s="1"/>
  <c r="G127" i="22"/>
  <c r="D128" i="22"/>
  <c r="E128" i="22" s="1"/>
  <c r="G131" i="10"/>
  <c r="D132" i="10"/>
  <c r="E132" i="10" s="1"/>
  <c r="G130" i="9"/>
  <c r="D131" i="9"/>
  <c r="E131" i="9"/>
  <c r="G126" i="23"/>
  <c r="D127" i="23"/>
  <c r="E127" i="23" s="1"/>
  <c r="J128" i="6"/>
  <c r="G120" i="39"/>
  <c r="D121" i="39"/>
  <c r="E121" i="39" s="1"/>
  <c r="J130" i="7"/>
  <c r="J129" i="11"/>
  <c r="G130" i="11"/>
  <c r="D131" i="11"/>
  <c r="E131" i="11" s="1"/>
  <c r="J130" i="10"/>
  <c r="J122" i="31"/>
  <c r="J125" i="23"/>
  <c r="D127" i="45" l="1"/>
  <c r="E127" i="45" s="1"/>
  <c r="G126" i="45"/>
  <c r="H125" i="44"/>
  <c r="I125" i="44"/>
  <c r="E126" i="44"/>
  <c r="F126" i="44" s="1"/>
  <c r="B126" i="44"/>
  <c r="J121" i="41"/>
  <c r="G123" i="38"/>
  <c r="D124" i="38"/>
  <c r="B124" i="38" s="1"/>
  <c r="E124" i="38"/>
  <c r="G123" i="42"/>
  <c r="D124" i="42"/>
  <c r="J122" i="38"/>
  <c r="D123" i="41"/>
  <c r="G122" i="41"/>
  <c r="J122" i="42"/>
  <c r="B131" i="11"/>
  <c r="F131" i="11"/>
  <c r="B131" i="9"/>
  <c r="F131" i="9"/>
  <c r="H131" i="10"/>
  <c r="I131" i="10"/>
  <c r="B124" i="29"/>
  <c r="F124" i="29"/>
  <c r="H125" i="24"/>
  <c r="I125" i="24"/>
  <c r="H120" i="37"/>
  <c r="I120" i="37"/>
  <c r="B123" i="30"/>
  <c r="F123" i="30"/>
  <c r="I128" i="4"/>
  <c r="H128" i="4"/>
  <c r="B129" i="3"/>
  <c r="F129" i="3"/>
  <c r="H131" i="7"/>
  <c r="I131" i="7"/>
  <c r="B121" i="39"/>
  <c r="F121" i="39"/>
  <c r="B127" i="23"/>
  <c r="F127" i="23"/>
  <c r="I130" i="9"/>
  <c r="H130" i="9"/>
  <c r="B130" i="6"/>
  <c r="F130" i="6"/>
  <c r="I123" i="29"/>
  <c r="H123" i="29"/>
  <c r="H122" i="30"/>
  <c r="I122" i="30"/>
  <c r="B124" i="31"/>
  <c r="F124" i="31"/>
  <c r="I128" i="3"/>
  <c r="H128" i="3"/>
  <c r="B124" i="28"/>
  <c r="F124" i="28"/>
  <c r="H126" i="23"/>
  <c r="I126" i="23"/>
  <c r="B128" i="22"/>
  <c r="F128" i="22"/>
  <c r="H129" i="6"/>
  <c r="I129" i="6"/>
  <c r="B121" i="43"/>
  <c r="F121" i="43"/>
  <c r="B130" i="8"/>
  <c r="F130" i="8"/>
  <c r="B129" i="5"/>
  <c r="F129" i="5"/>
  <c r="B120" i="40"/>
  <c r="F120" i="40"/>
  <c r="H123" i="31"/>
  <c r="I123" i="31"/>
  <c r="B125" i="27"/>
  <c r="F125" i="27"/>
  <c r="H123" i="28"/>
  <c r="I123" i="28"/>
  <c r="B128" i="25"/>
  <c r="F128" i="25"/>
  <c r="H130" i="11"/>
  <c r="I130" i="11"/>
  <c r="H120" i="39"/>
  <c r="I120" i="39"/>
  <c r="B132" i="10"/>
  <c r="F132" i="10"/>
  <c r="I127" i="22"/>
  <c r="H127" i="22"/>
  <c r="B126" i="24"/>
  <c r="F126" i="24"/>
  <c r="H120" i="43"/>
  <c r="I120" i="43"/>
  <c r="B121" i="37"/>
  <c r="F121" i="37"/>
  <c r="I129" i="8"/>
  <c r="H129" i="8"/>
  <c r="B129" i="4"/>
  <c r="F129" i="4"/>
  <c r="H128" i="5"/>
  <c r="I128" i="5"/>
  <c r="H119" i="40"/>
  <c r="I119" i="40"/>
  <c r="B132" i="7"/>
  <c r="F132" i="7"/>
  <c r="H124" i="27"/>
  <c r="I124" i="27"/>
  <c r="H127" i="25"/>
  <c r="I127" i="25"/>
  <c r="H126" i="45" l="1"/>
  <c r="I126" i="45"/>
  <c r="B127" i="45"/>
  <c r="F127" i="45"/>
  <c r="J125" i="44"/>
  <c r="G126" i="44"/>
  <c r="D127" i="44"/>
  <c r="F124" i="38"/>
  <c r="G124" i="38" s="1"/>
  <c r="H122" i="41"/>
  <c r="I122" i="41"/>
  <c r="I123" i="42"/>
  <c r="H123" i="42"/>
  <c r="E123" i="41"/>
  <c r="F123" i="41" s="1"/>
  <c r="B123" i="41"/>
  <c r="E124" i="42"/>
  <c r="F124" i="42" s="1"/>
  <c r="B124" i="42"/>
  <c r="I123" i="38"/>
  <c r="H123" i="38"/>
  <c r="J123" i="29"/>
  <c r="J130" i="9"/>
  <c r="J155" i="9" s="1"/>
  <c r="J128" i="3"/>
  <c r="J128" i="4"/>
  <c r="J129" i="8"/>
  <c r="J127" i="22"/>
  <c r="J127" i="25"/>
  <c r="J129" i="6"/>
  <c r="G132" i="7"/>
  <c r="D133" i="7"/>
  <c r="E133" i="7" s="1"/>
  <c r="J128" i="5"/>
  <c r="J120" i="43"/>
  <c r="J120" i="39"/>
  <c r="G128" i="25"/>
  <c r="D129" i="25"/>
  <c r="E129" i="25"/>
  <c r="G125" i="27"/>
  <c r="D126" i="27"/>
  <c r="E126" i="27" s="1"/>
  <c r="G120" i="40"/>
  <c r="D121" i="40"/>
  <c r="E121" i="40" s="1"/>
  <c r="G130" i="8"/>
  <c r="D131" i="8"/>
  <c r="E131" i="8"/>
  <c r="J126" i="23"/>
  <c r="J122" i="30"/>
  <c r="G130" i="6"/>
  <c r="D131" i="6"/>
  <c r="E131" i="6" s="1"/>
  <c r="G127" i="23"/>
  <c r="D128" i="23"/>
  <c r="E128" i="23" s="1"/>
  <c r="J131" i="7"/>
  <c r="J120" i="37"/>
  <c r="G124" i="29"/>
  <c r="D125" i="29"/>
  <c r="E125" i="29" s="1"/>
  <c r="G131" i="9"/>
  <c r="D132" i="9"/>
  <c r="E132" i="9"/>
  <c r="J124" i="27"/>
  <c r="J119" i="40"/>
  <c r="G129" i="4"/>
  <c r="D130" i="4"/>
  <c r="E130" i="4" s="1"/>
  <c r="G121" i="37"/>
  <c r="D122" i="37"/>
  <c r="E122" i="37"/>
  <c r="G126" i="24"/>
  <c r="D127" i="24"/>
  <c r="E127" i="24"/>
  <c r="G132" i="10"/>
  <c r="D133" i="10"/>
  <c r="E133" i="10" s="1"/>
  <c r="J130" i="11"/>
  <c r="J155" i="11" s="1"/>
  <c r="J123" i="28"/>
  <c r="J123" i="31"/>
  <c r="G129" i="5"/>
  <c r="D130" i="5"/>
  <c r="E130" i="5" s="1"/>
  <c r="G121" i="43"/>
  <c r="D122" i="43"/>
  <c r="E122" i="43" s="1"/>
  <c r="G128" i="22"/>
  <c r="D129" i="22"/>
  <c r="E129" i="22" s="1"/>
  <c r="G124" i="28"/>
  <c r="D125" i="28"/>
  <c r="E125" i="28" s="1"/>
  <c r="G124" i="31"/>
  <c r="D125" i="31"/>
  <c r="E125" i="31"/>
  <c r="G121" i="39"/>
  <c r="D122" i="39"/>
  <c r="E122" i="39"/>
  <c r="G129" i="3"/>
  <c r="D130" i="3"/>
  <c r="E130" i="3" s="1"/>
  <c r="G123" i="30"/>
  <c r="D124" i="30"/>
  <c r="E124" i="30" s="1"/>
  <c r="J125" i="24"/>
  <c r="J131" i="10"/>
  <c r="G131" i="11"/>
  <c r="D132" i="11"/>
  <c r="E132" i="11" s="1"/>
  <c r="J126" i="45" l="1"/>
  <c r="D125" i="38"/>
  <c r="B125" i="38" s="1"/>
  <c r="D128" i="45"/>
  <c r="B128" i="45" s="1"/>
  <c r="E128" i="45"/>
  <c r="G127" i="45"/>
  <c r="J122" i="41"/>
  <c r="H126" i="44"/>
  <c r="I126" i="44"/>
  <c r="E127" i="44"/>
  <c r="F127" i="44" s="1"/>
  <c r="B127" i="44"/>
  <c r="J123" i="42"/>
  <c r="D125" i="42"/>
  <c r="G124" i="42"/>
  <c r="E125" i="38"/>
  <c r="F125" i="38" s="1"/>
  <c r="G123" i="41"/>
  <c r="D124" i="41"/>
  <c r="B124" i="41" s="1"/>
  <c r="J123" i="38"/>
  <c r="H124" i="38"/>
  <c r="I124" i="38"/>
  <c r="F130" i="5"/>
  <c r="B130" i="5"/>
  <c r="B122" i="39"/>
  <c r="F122" i="39"/>
  <c r="H124" i="31"/>
  <c r="I124" i="31"/>
  <c r="B122" i="43"/>
  <c r="F122" i="43"/>
  <c r="H129" i="5"/>
  <c r="I129" i="5"/>
  <c r="B127" i="24"/>
  <c r="F127" i="24"/>
  <c r="H121" i="37"/>
  <c r="I121" i="37"/>
  <c r="I131" i="9"/>
  <c r="H131" i="9"/>
  <c r="I127" i="23"/>
  <c r="H127" i="23"/>
  <c r="H130" i="8"/>
  <c r="I130" i="8"/>
  <c r="B129" i="25"/>
  <c r="F129" i="25"/>
  <c r="I131" i="11"/>
  <c r="H131" i="11"/>
  <c r="H123" i="30"/>
  <c r="I123" i="30"/>
  <c r="B132" i="11"/>
  <c r="F132" i="11"/>
  <c r="B130" i="3"/>
  <c r="F130" i="3"/>
  <c r="H121" i="39"/>
  <c r="I121" i="39"/>
  <c r="B129" i="22"/>
  <c r="F129" i="22"/>
  <c r="H121" i="43"/>
  <c r="I121" i="43"/>
  <c r="B133" i="10"/>
  <c r="F133" i="10"/>
  <c r="H126" i="24"/>
  <c r="I126" i="24"/>
  <c r="B126" i="27"/>
  <c r="F126" i="27"/>
  <c r="I128" i="25"/>
  <c r="H128" i="25"/>
  <c r="B124" i="30"/>
  <c r="F124" i="30"/>
  <c r="H129" i="3"/>
  <c r="I129" i="3"/>
  <c r="B125" i="28"/>
  <c r="F125" i="28"/>
  <c r="H128" i="22"/>
  <c r="I128" i="22"/>
  <c r="H132" i="10"/>
  <c r="I132" i="10"/>
  <c r="B130" i="4"/>
  <c r="F130" i="4"/>
  <c r="B125" i="29"/>
  <c r="F125" i="29"/>
  <c r="B131" i="6"/>
  <c r="F131" i="6"/>
  <c r="B121" i="40"/>
  <c r="F121" i="40"/>
  <c r="H125" i="27"/>
  <c r="I125" i="27"/>
  <c r="B133" i="7"/>
  <c r="F133" i="7"/>
  <c r="B125" i="31"/>
  <c r="F125" i="31"/>
  <c r="H124" i="28"/>
  <c r="I124" i="28"/>
  <c r="B122" i="37"/>
  <c r="F122" i="37"/>
  <c r="H129" i="4"/>
  <c r="I129" i="4"/>
  <c r="B132" i="9"/>
  <c r="F132" i="9"/>
  <c r="H124" i="29"/>
  <c r="I124" i="29"/>
  <c r="B128" i="23"/>
  <c r="F128" i="23"/>
  <c r="H130" i="6"/>
  <c r="I130" i="6"/>
  <c r="B131" i="8"/>
  <c r="F131" i="8"/>
  <c r="H120" i="40"/>
  <c r="I120" i="40"/>
  <c r="H132" i="7"/>
  <c r="I132" i="7"/>
  <c r="H127" i="45" l="1"/>
  <c r="I127" i="45"/>
  <c r="J127" i="45" s="1"/>
  <c r="F128" i="45"/>
  <c r="G127" i="44"/>
  <c r="D128" i="44"/>
  <c r="B128" i="44" s="1"/>
  <c r="E128" i="44"/>
  <c r="F128" i="44" s="1"/>
  <c r="J126" i="44"/>
  <c r="J124" i="38"/>
  <c r="E124" i="41"/>
  <c r="F124" i="41" s="1"/>
  <c r="G124" i="41" s="1"/>
  <c r="D126" i="38"/>
  <c r="G125" i="38"/>
  <c r="H123" i="41"/>
  <c r="I123" i="41"/>
  <c r="I124" i="42"/>
  <c r="H124" i="42"/>
  <c r="E125" i="42"/>
  <c r="F125" i="42" s="1"/>
  <c r="B125" i="42"/>
  <c r="J121" i="37"/>
  <c r="J129" i="5"/>
  <c r="J124" i="31"/>
  <c r="J120" i="40"/>
  <c r="J123" i="30"/>
  <c r="J128" i="25"/>
  <c r="J132" i="7"/>
  <c r="G131" i="8"/>
  <c r="D132" i="8"/>
  <c r="E132" i="8"/>
  <c r="G128" i="23"/>
  <c r="D129" i="23"/>
  <c r="E129" i="23" s="1"/>
  <c r="G132" i="9"/>
  <c r="D133" i="9"/>
  <c r="E133" i="9" s="1"/>
  <c r="G122" i="37"/>
  <c r="D123" i="37"/>
  <c r="E123" i="37" s="1"/>
  <c r="G125" i="31"/>
  <c r="D126" i="31"/>
  <c r="E126" i="31"/>
  <c r="J125" i="27"/>
  <c r="G131" i="6"/>
  <c r="D132" i="6"/>
  <c r="E132" i="6"/>
  <c r="G130" i="4"/>
  <c r="D131" i="4"/>
  <c r="E131" i="4" s="1"/>
  <c r="J128" i="22"/>
  <c r="J129" i="3"/>
  <c r="J126" i="24"/>
  <c r="J121" i="43"/>
  <c r="J121" i="39"/>
  <c r="G132" i="11"/>
  <c r="D133" i="11"/>
  <c r="E133" i="11" s="1"/>
  <c r="J130" i="8"/>
  <c r="G127" i="24"/>
  <c r="D128" i="24"/>
  <c r="E128" i="24" s="1"/>
  <c r="G122" i="43"/>
  <c r="D123" i="43"/>
  <c r="E123" i="43"/>
  <c r="G122" i="39"/>
  <c r="D123" i="39"/>
  <c r="E123" i="39" s="1"/>
  <c r="J130" i="6"/>
  <c r="J124" i="29"/>
  <c r="J129" i="4"/>
  <c r="J124" i="28"/>
  <c r="G133" i="7"/>
  <c r="D134" i="7"/>
  <c r="E134" i="7"/>
  <c r="G121" i="40"/>
  <c r="D122" i="40"/>
  <c r="E122" i="40" s="1"/>
  <c r="G125" i="29"/>
  <c r="D126" i="29"/>
  <c r="E126" i="29" s="1"/>
  <c r="J132" i="10"/>
  <c r="G125" i="28"/>
  <c r="D126" i="28"/>
  <c r="E126" i="28" s="1"/>
  <c r="G124" i="30"/>
  <c r="D125" i="30"/>
  <c r="E125" i="30"/>
  <c r="G126" i="27"/>
  <c r="D127" i="27"/>
  <c r="E127" i="27"/>
  <c r="G133" i="10"/>
  <c r="D134" i="10"/>
  <c r="E134" i="10" s="1"/>
  <c r="G129" i="22"/>
  <c r="D130" i="22"/>
  <c r="E130" i="22" s="1"/>
  <c r="G130" i="3"/>
  <c r="D131" i="3"/>
  <c r="E131" i="3" s="1"/>
  <c r="G129" i="25"/>
  <c r="D130" i="25"/>
  <c r="E130" i="25" s="1"/>
  <c r="J127" i="23"/>
  <c r="G130" i="5"/>
  <c r="D131" i="5"/>
  <c r="E131" i="5" s="1"/>
  <c r="G128" i="45" l="1"/>
  <c r="D129" i="45"/>
  <c r="B129" i="45" s="1"/>
  <c r="E129" i="45"/>
  <c r="G128" i="44"/>
  <c r="D129" i="44"/>
  <c r="I127" i="44"/>
  <c r="H127" i="44"/>
  <c r="D125" i="41"/>
  <c r="B125" i="41" s="1"/>
  <c r="J123" i="41"/>
  <c r="J124" i="42"/>
  <c r="H124" i="41"/>
  <c r="I124" i="41"/>
  <c r="G125" i="42"/>
  <c r="D126" i="42"/>
  <c r="I125" i="38"/>
  <c r="H125" i="38"/>
  <c r="E126" i="38"/>
  <c r="F126" i="38" s="1"/>
  <c r="B126" i="38"/>
  <c r="B131" i="5"/>
  <c r="F131" i="5"/>
  <c r="H130" i="3"/>
  <c r="I130" i="3"/>
  <c r="H130" i="5"/>
  <c r="I130" i="5"/>
  <c r="B131" i="3"/>
  <c r="F131" i="3"/>
  <c r="I129" i="22"/>
  <c r="H129" i="22"/>
  <c r="B125" i="30"/>
  <c r="F125" i="30"/>
  <c r="H125" i="28"/>
  <c r="I125" i="28"/>
  <c r="H125" i="29"/>
  <c r="I125" i="29"/>
  <c r="B123" i="39"/>
  <c r="F123" i="39"/>
  <c r="H122" i="43"/>
  <c r="I122" i="43"/>
  <c r="B123" i="37"/>
  <c r="F123" i="37"/>
  <c r="H132" i="9"/>
  <c r="I132" i="9"/>
  <c r="B130" i="25"/>
  <c r="F130" i="25"/>
  <c r="B127" i="27"/>
  <c r="F127" i="27"/>
  <c r="H124" i="30"/>
  <c r="I124" i="30"/>
  <c r="B134" i="7"/>
  <c r="F134" i="7"/>
  <c r="H122" i="39"/>
  <c r="I122" i="39"/>
  <c r="B132" i="6"/>
  <c r="F132" i="6"/>
  <c r="B126" i="31"/>
  <c r="F126" i="31"/>
  <c r="I122" i="37"/>
  <c r="H122" i="37"/>
  <c r="B132" i="8"/>
  <c r="F132" i="8"/>
  <c r="B134" i="10"/>
  <c r="F134" i="10"/>
  <c r="I126" i="27"/>
  <c r="H126" i="27"/>
  <c r="B122" i="40"/>
  <c r="F122" i="40"/>
  <c r="H133" i="7"/>
  <c r="I133" i="7"/>
  <c r="B128" i="24"/>
  <c r="F128" i="24"/>
  <c r="B133" i="11"/>
  <c r="F133" i="11"/>
  <c r="B131" i="4"/>
  <c r="F131" i="4"/>
  <c r="H131" i="6"/>
  <c r="I131" i="6"/>
  <c r="I125" i="31"/>
  <c r="H125" i="31"/>
  <c r="B129" i="23"/>
  <c r="F129" i="23"/>
  <c r="H131" i="8"/>
  <c r="I131" i="8"/>
  <c r="H129" i="25"/>
  <c r="I129" i="25"/>
  <c r="B130" i="22"/>
  <c r="F130" i="22"/>
  <c r="H133" i="10"/>
  <c r="I133" i="10"/>
  <c r="B126" i="28"/>
  <c r="F126" i="28"/>
  <c r="B126" i="29"/>
  <c r="F126" i="29"/>
  <c r="H121" i="40"/>
  <c r="I121" i="40"/>
  <c r="B123" i="43"/>
  <c r="F123" i="43"/>
  <c r="I127" i="24"/>
  <c r="H127" i="24"/>
  <c r="I132" i="11"/>
  <c r="H132" i="11"/>
  <c r="H130" i="4"/>
  <c r="I130" i="4"/>
  <c r="B133" i="9"/>
  <c r="F133" i="9"/>
  <c r="H128" i="23"/>
  <c r="I128" i="23"/>
  <c r="E125" i="41" l="1"/>
  <c r="J124" i="41"/>
  <c r="J127" i="44"/>
  <c r="F129" i="45"/>
  <c r="H128" i="45"/>
  <c r="I128" i="45"/>
  <c r="E129" i="44"/>
  <c r="F129" i="44" s="1"/>
  <c r="B129" i="44"/>
  <c r="H128" i="44"/>
  <c r="I128" i="44"/>
  <c r="F125" i="41"/>
  <c r="D126" i="41" s="1"/>
  <c r="D127" i="38"/>
  <c r="G126" i="38"/>
  <c r="E126" i="42"/>
  <c r="F126" i="42" s="1"/>
  <c r="B126" i="42"/>
  <c r="I125" i="42"/>
  <c r="H125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D127" i="28"/>
  <c r="E127" i="28" s="1"/>
  <c r="G130" i="22"/>
  <c r="D131" i="22"/>
  <c r="E131" i="22"/>
  <c r="J131" i="8"/>
  <c r="G131" i="4"/>
  <c r="D132" i="4"/>
  <c r="E132" i="4"/>
  <c r="G128" i="24"/>
  <c r="D129" i="24"/>
  <c r="E129" i="24"/>
  <c r="G122" i="40"/>
  <c r="D123" i="40"/>
  <c r="E123" i="40" s="1"/>
  <c r="G134" i="10"/>
  <c r="D135" i="10"/>
  <c r="E135" i="10" s="1"/>
  <c r="G132" i="6"/>
  <c r="D133" i="6"/>
  <c r="E133" i="6" s="1"/>
  <c r="G134" i="7"/>
  <c r="D135" i="7"/>
  <c r="E135" i="7"/>
  <c r="G127" i="27"/>
  <c r="D128" i="27"/>
  <c r="E128" i="27" s="1"/>
  <c r="J122" i="43"/>
  <c r="J125" i="29"/>
  <c r="G125" i="30"/>
  <c r="D126" i="30"/>
  <c r="E126" i="30"/>
  <c r="G131" i="3"/>
  <c r="D132" i="3"/>
  <c r="E132" i="3" s="1"/>
  <c r="G133" i="9"/>
  <c r="D134" i="9"/>
  <c r="E134" i="9" s="1"/>
  <c r="G123" i="43"/>
  <c r="D124" i="43"/>
  <c r="E124" i="43" s="1"/>
  <c r="G126" i="29"/>
  <c r="D127" i="29"/>
  <c r="E127" i="29"/>
  <c r="J129" i="25"/>
  <c r="G129" i="23"/>
  <c r="D130" i="23"/>
  <c r="E130" i="23"/>
  <c r="J131" i="6"/>
  <c r="G133" i="11"/>
  <c r="D134" i="11"/>
  <c r="E134" i="11"/>
  <c r="J133" i="7"/>
  <c r="G132" i="8"/>
  <c r="D133" i="8"/>
  <c r="E133" i="8"/>
  <c r="G126" i="31"/>
  <c r="D127" i="31"/>
  <c r="E127" i="31" s="1"/>
  <c r="G130" i="25"/>
  <c r="D131" i="25"/>
  <c r="E131" i="25" s="1"/>
  <c r="G123" i="37"/>
  <c r="D124" i="37"/>
  <c r="E124" i="37" s="1"/>
  <c r="G123" i="39"/>
  <c r="D124" i="39"/>
  <c r="E124" i="39" s="1"/>
  <c r="J125" i="28"/>
  <c r="J130" i="5"/>
  <c r="G131" i="5"/>
  <c r="D132" i="5"/>
  <c r="E132" i="5" s="1"/>
  <c r="J128" i="45" l="1"/>
  <c r="D130" i="45"/>
  <c r="B130" i="45" s="1"/>
  <c r="G129" i="45"/>
  <c r="E130" i="45"/>
  <c r="F130" i="45" s="1"/>
  <c r="G125" i="41"/>
  <c r="H125" i="41" s="1"/>
  <c r="D130" i="44"/>
  <c r="G129" i="44"/>
  <c r="J128" i="44"/>
  <c r="D127" i="42"/>
  <c r="B127" i="42" s="1"/>
  <c r="G126" i="42"/>
  <c r="E126" i="41"/>
  <c r="F126" i="41" s="1"/>
  <c r="B126" i="41"/>
  <c r="J125" i="42"/>
  <c r="I126" i="38"/>
  <c r="H126" i="38"/>
  <c r="E127" i="38"/>
  <c r="F127" i="38" s="1"/>
  <c r="B127" i="38"/>
  <c r="B132" i="5"/>
  <c r="F132" i="5"/>
  <c r="B124" i="37"/>
  <c r="F124" i="37"/>
  <c r="H130" i="25"/>
  <c r="I130" i="25"/>
  <c r="B124" i="43"/>
  <c r="F124" i="43"/>
  <c r="H133" i="9"/>
  <c r="I133" i="9"/>
  <c r="B133" i="6"/>
  <c r="F133" i="6"/>
  <c r="H134" i="10"/>
  <c r="I134" i="10"/>
  <c r="B132" i="4"/>
  <c r="F132" i="4"/>
  <c r="B131" i="22"/>
  <c r="F131" i="22"/>
  <c r="H126" i="28"/>
  <c r="I126" i="28"/>
  <c r="H131" i="5"/>
  <c r="I131" i="5"/>
  <c r="B133" i="8"/>
  <c r="F133" i="8"/>
  <c r="B134" i="11"/>
  <c r="F134" i="11"/>
  <c r="B130" i="23"/>
  <c r="F130" i="23"/>
  <c r="B127" i="29"/>
  <c r="F127" i="29"/>
  <c r="I123" i="43"/>
  <c r="H123" i="43"/>
  <c r="B126" i="30"/>
  <c r="F126" i="30"/>
  <c r="B135" i="7"/>
  <c r="F135" i="7"/>
  <c r="H132" i="6"/>
  <c r="I132" i="6"/>
  <c r="B129" i="24"/>
  <c r="F129" i="24"/>
  <c r="H131" i="4"/>
  <c r="I131" i="4"/>
  <c r="H130" i="22"/>
  <c r="I130" i="22"/>
  <c r="B124" i="39"/>
  <c r="F124" i="39"/>
  <c r="H123" i="39"/>
  <c r="I123" i="39"/>
  <c r="B127" i="31"/>
  <c r="F127" i="31"/>
  <c r="H132" i="8"/>
  <c r="I132" i="8"/>
  <c r="H133" i="11"/>
  <c r="I133" i="11"/>
  <c r="H129" i="23"/>
  <c r="I129" i="23"/>
  <c r="H126" i="29"/>
  <c r="I126" i="29"/>
  <c r="B132" i="3"/>
  <c r="F132" i="3"/>
  <c r="I125" i="30"/>
  <c r="H125" i="30"/>
  <c r="B128" i="27"/>
  <c r="F128" i="27"/>
  <c r="H134" i="7"/>
  <c r="I134" i="7"/>
  <c r="B123" i="40"/>
  <c r="F123" i="40"/>
  <c r="I128" i="24"/>
  <c r="H128" i="24"/>
  <c r="H123" i="37"/>
  <c r="I123" i="37"/>
  <c r="B131" i="25"/>
  <c r="F131" i="25"/>
  <c r="I126" i="31"/>
  <c r="H126" i="31"/>
  <c r="B134" i="9"/>
  <c r="F134" i="9"/>
  <c r="H131" i="3"/>
  <c r="I131" i="3"/>
  <c r="H127" i="27"/>
  <c r="I127" i="27"/>
  <c r="B135" i="10"/>
  <c r="F135" i="10"/>
  <c r="H122" i="40"/>
  <c r="I122" i="40"/>
  <c r="B127" i="28"/>
  <c r="F127" i="28"/>
  <c r="I125" i="41" l="1"/>
  <c r="D131" i="45"/>
  <c r="B131" i="45" s="1"/>
  <c r="G130" i="45"/>
  <c r="E131" i="45"/>
  <c r="F131" i="45" s="1"/>
  <c r="I129" i="45"/>
  <c r="H129" i="45"/>
  <c r="I129" i="44"/>
  <c r="H129" i="44"/>
  <c r="E130" i="44"/>
  <c r="F130" i="44"/>
  <c r="B130" i="44"/>
  <c r="J126" i="38"/>
  <c r="E127" i="42"/>
  <c r="F127" i="42" s="1"/>
  <c r="D128" i="42" s="1"/>
  <c r="B128" i="42" s="1"/>
  <c r="G126" i="41"/>
  <c r="D127" i="41"/>
  <c r="B127" i="41" s="1"/>
  <c r="G127" i="38"/>
  <c r="D128" i="38"/>
  <c r="B128" i="38" s="1"/>
  <c r="E128" i="38"/>
  <c r="J125" i="41"/>
  <c r="I126" i="42"/>
  <c r="H126" i="42"/>
  <c r="J125" i="30"/>
  <c r="J126" i="31"/>
  <c r="J123" i="43"/>
  <c r="J122" i="40"/>
  <c r="J131" i="4"/>
  <c r="J127" i="27"/>
  <c r="J134" i="7"/>
  <c r="J128" i="24"/>
  <c r="G127" i="28"/>
  <c r="D128" i="28"/>
  <c r="E128" i="28" s="1"/>
  <c r="G135" i="10"/>
  <c r="D136" i="10"/>
  <c r="E136" i="10"/>
  <c r="J131" i="3"/>
  <c r="J123" i="37"/>
  <c r="G123" i="40"/>
  <c r="D124" i="40"/>
  <c r="E124" i="40" s="1"/>
  <c r="G128" i="27"/>
  <c r="D129" i="27"/>
  <c r="E129" i="27" s="1"/>
  <c r="G132" i="3"/>
  <c r="D133" i="3"/>
  <c r="E133" i="3"/>
  <c r="J129" i="23"/>
  <c r="J132" i="8"/>
  <c r="J123" i="39"/>
  <c r="J130" i="22"/>
  <c r="J155" i="22" s="1"/>
  <c r="G129" i="24"/>
  <c r="D130" i="24"/>
  <c r="E130" i="24"/>
  <c r="G135" i="7"/>
  <c r="D136" i="7"/>
  <c r="E136" i="7" s="1"/>
  <c r="G130" i="23"/>
  <c r="D131" i="23"/>
  <c r="E131" i="23"/>
  <c r="G133" i="8"/>
  <c r="D134" i="8"/>
  <c r="E134" i="8"/>
  <c r="J126" i="28"/>
  <c r="G132" i="4"/>
  <c r="D133" i="4"/>
  <c r="E133" i="4"/>
  <c r="G133" i="6"/>
  <c r="D134" i="6"/>
  <c r="E134" i="6"/>
  <c r="G124" i="43"/>
  <c r="D125" i="43"/>
  <c r="E125" i="43" s="1"/>
  <c r="G124" i="37"/>
  <c r="D125" i="37"/>
  <c r="E125" i="37"/>
  <c r="G134" i="9"/>
  <c r="D135" i="9"/>
  <c r="E135" i="9"/>
  <c r="D132" i="25"/>
  <c r="E132" i="25" s="1"/>
  <c r="G131" i="25"/>
  <c r="J126" i="29"/>
  <c r="G127" i="31"/>
  <c r="D128" i="31"/>
  <c r="E128" i="31"/>
  <c r="G124" i="39"/>
  <c r="D125" i="39"/>
  <c r="E125" i="39" s="1"/>
  <c r="J132" i="6"/>
  <c r="G126" i="30"/>
  <c r="D127" i="30"/>
  <c r="E127" i="30" s="1"/>
  <c r="G127" i="29"/>
  <c r="D128" i="29"/>
  <c r="E128" i="29"/>
  <c r="G134" i="11"/>
  <c r="D135" i="11"/>
  <c r="E135" i="11"/>
  <c r="J131" i="5"/>
  <c r="G131" i="22"/>
  <c r="D132" i="22"/>
  <c r="E132" i="22"/>
  <c r="J134" i="10"/>
  <c r="J130" i="25"/>
  <c r="G132" i="5"/>
  <c r="D133" i="5"/>
  <c r="E133" i="5"/>
  <c r="J129" i="45" l="1"/>
  <c r="D132" i="45"/>
  <c r="B132" i="45" s="1"/>
  <c r="G131" i="45"/>
  <c r="E132" i="45"/>
  <c r="F132" i="45" s="1"/>
  <c r="H130" i="45"/>
  <c r="I130" i="45"/>
  <c r="G130" i="44"/>
  <c r="D131" i="44"/>
  <c r="B131" i="44" s="1"/>
  <c r="J129" i="44"/>
  <c r="G127" i="42"/>
  <c r="I127" i="42" s="1"/>
  <c r="F128" i="38"/>
  <c r="G128" i="38" s="1"/>
  <c r="E128" i="42"/>
  <c r="F128" i="42" s="1"/>
  <c r="E127" i="41"/>
  <c r="F127" i="41" s="1"/>
  <c r="G127" i="41" s="1"/>
  <c r="I127" i="38"/>
  <c r="H127" i="38"/>
  <c r="J126" i="42"/>
  <c r="I126" i="41"/>
  <c r="H126" i="41"/>
  <c r="I132" i="5"/>
  <c r="H132" i="5"/>
  <c r="B135" i="11"/>
  <c r="F135" i="11"/>
  <c r="H127" i="29"/>
  <c r="I127" i="29"/>
  <c r="B135" i="9"/>
  <c r="F135" i="9"/>
  <c r="H124" i="37"/>
  <c r="I124" i="37"/>
  <c r="B133" i="4"/>
  <c r="F133" i="4"/>
  <c r="B134" i="8"/>
  <c r="F134" i="8"/>
  <c r="H130" i="23"/>
  <c r="I130" i="23"/>
  <c r="B133" i="3"/>
  <c r="F133" i="3"/>
  <c r="H128" i="27"/>
  <c r="I128" i="27"/>
  <c r="H135" i="10"/>
  <c r="I135" i="10"/>
  <c r="B133" i="5"/>
  <c r="F133" i="5"/>
  <c r="B132" i="22"/>
  <c r="F132" i="22"/>
  <c r="I131" i="22"/>
  <c r="H131" i="22"/>
  <c r="I134" i="11"/>
  <c r="H134" i="11"/>
  <c r="B128" i="31"/>
  <c r="F128" i="31"/>
  <c r="H131" i="25"/>
  <c r="I131" i="25"/>
  <c r="I134" i="9"/>
  <c r="H134" i="9"/>
  <c r="B134" i="6"/>
  <c r="F134" i="6"/>
  <c r="I132" i="4"/>
  <c r="H132" i="4"/>
  <c r="I133" i="8"/>
  <c r="H133" i="8"/>
  <c r="B130" i="24"/>
  <c r="F130" i="24"/>
  <c r="I132" i="3"/>
  <c r="H132" i="3"/>
  <c r="B127" i="30"/>
  <c r="F127" i="30"/>
  <c r="B125" i="39"/>
  <c r="F125" i="39"/>
  <c r="H127" i="31"/>
  <c r="I127" i="31"/>
  <c r="B132" i="25"/>
  <c r="F132" i="25"/>
  <c r="B125" i="43"/>
  <c r="F125" i="43"/>
  <c r="H133" i="6"/>
  <c r="I133" i="6"/>
  <c r="B136" i="7"/>
  <c r="F136" i="7"/>
  <c r="H129" i="24"/>
  <c r="I129" i="24"/>
  <c r="B124" i="40"/>
  <c r="F124" i="40"/>
  <c r="B128" i="28"/>
  <c r="F128" i="28"/>
  <c r="B128" i="29"/>
  <c r="F128" i="29"/>
  <c r="H126" i="30"/>
  <c r="I126" i="30"/>
  <c r="I124" i="39"/>
  <c r="H124" i="39"/>
  <c r="B125" i="37"/>
  <c r="F125" i="37"/>
  <c r="I124" i="43"/>
  <c r="H124" i="43"/>
  <c r="B131" i="23"/>
  <c r="F131" i="23"/>
  <c r="H135" i="7"/>
  <c r="I135" i="7"/>
  <c r="B129" i="27"/>
  <c r="F129" i="27"/>
  <c r="H123" i="40"/>
  <c r="I123" i="40"/>
  <c r="B136" i="10"/>
  <c r="F136" i="10"/>
  <c r="H127" i="28"/>
  <c r="I127" i="28"/>
  <c r="J130" i="45" l="1"/>
  <c r="J155" i="45" s="1"/>
  <c r="E131" i="44"/>
  <c r="F131" i="44" s="1"/>
  <c r="H127" i="42"/>
  <c r="J127" i="42" s="1"/>
  <c r="D129" i="38"/>
  <c r="B129" i="38" s="1"/>
  <c r="D133" i="45"/>
  <c r="B133" i="45" s="1"/>
  <c r="G132" i="45"/>
  <c r="E133" i="45"/>
  <c r="H131" i="45"/>
  <c r="I131" i="45"/>
  <c r="I130" i="44"/>
  <c r="H130" i="44"/>
  <c r="D129" i="42"/>
  <c r="B129" i="42" s="1"/>
  <c r="G128" i="42"/>
  <c r="I128" i="42" s="1"/>
  <c r="D128" i="41"/>
  <c r="B128" i="41" s="1"/>
  <c r="E129" i="42"/>
  <c r="H127" i="41"/>
  <c r="I127" i="41"/>
  <c r="J126" i="41"/>
  <c r="H128" i="38"/>
  <c r="I128" i="38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D129" i="29"/>
  <c r="E129" i="29" s="1"/>
  <c r="G124" i="40"/>
  <c r="D125" i="40"/>
  <c r="E125" i="40" s="1"/>
  <c r="G136" i="7"/>
  <c r="D137" i="7"/>
  <c r="E137" i="7" s="1"/>
  <c r="G125" i="43"/>
  <c r="D126" i="43"/>
  <c r="E126" i="43"/>
  <c r="J127" i="31"/>
  <c r="G127" i="30"/>
  <c r="D128" i="30"/>
  <c r="E128" i="30"/>
  <c r="G130" i="24"/>
  <c r="D131" i="24"/>
  <c r="E131" i="24" s="1"/>
  <c r="G128" i="31"/>
  <c r="D129" i="31"/>
  <c r="E129" i="31"/>
  <c r="G133" i="5"/>
  <c r="D134" i="5"/>
  <c r="E134" i="5" s="1"/>
  <c r="J128" i="27"/>
  <c r="J130" i="23"/>
  <c r="J155" i="23" s="1"/>
  <c r="G133" i="4"/>
  <c r="D134" i="4"/>
  <c r="E134" i="4"/>
  <c r="G135" i="9"/>
  <c r="D136" i="9"/>
  <c r="E136" i="9" s="1"/>
  <c r="D136" i="11"/>
  <c r="G135" i="11"/>
  <c r="E136" i="11"/>
  <c r="G136" i="10"/>
  <c r="D137" i="10"/>
  <c r="E137" i="10"/>
  <c r="G129" i="27"/>
  <c r="D130" i="27"/>
  <c r="E130" i="27" s="1"/>
  <c r="G131" i="23"/>
  <c r="D132" i="23"/>
  <c r="E132" i="23" s="1"/>
  <c r="G125" i="37"/>
  <c r="D126" i="37"/>
  <c r="E126" i="37" s="1"/>
  <c r="J126" i="30"/>
  <c r="G128" i="28"/>
  <c r="D129" i="28"/>
  <c r="E129" i="28" s="1"/>
  <c r="J129" i="24"/>
  <c r="J133" i="6"/>
  <c r="G132" i="25"/>
  <c r="D133" i="25"/>
  <c r="E133" i="25" s="1"/>
  <c r="G125" i="39"/>
  <c r="D126" i="39"/>
  <c r="E126" i="39" s="1"/>
  <c r="G134" i="6"/>
  <c r="D135" i="6"/>
  <c r="E135" i="6"/>
  <c r="J131" i="25"/>
  <c r="G132" i="22"/>
  <c r="D133" i="22"/>
  <c r="E133" i="22"/>
  <c r="J135" i="10"/>
  <c r="G133" i="3"/>
  <c r="D134" i="3"/>
  <c r="E134" i="3"/>
  <c r="G134" i="8"/>
  <c r="D135" i="8"/>
  <c r="E135" i="8"/>
  <c r="J132" i="5"/>
  <c r="D132" i="44" l="1"/>
  <c r="G131" i="44"/>
  <c r="H128" i="42"/>
  <c r="J128" i="42" s="1"/>
  <c r="E129" i="38"/>
  <c r="F129" i="38" s="1"/>
  <c r="G129" i="38" s="1"/>
  <c r="E128" i="41"/>
  <c r="F133" i="45"/>
  <c r="D134" i="45" s="1"/>
  <c r="B134" i="45" s="1"/>
  <c r="F129" i="42"/>
  <c r="G129" i="42" s="1"/>
  <c r="I132" i="45"/>
  <c r="H132" i="45"/>
  <c r="J130" i="44"/>
  <c r="J155" i="44" s="1"/>
  <c r="E132" i="44"/>
  <c r="F132" i="44" s="1"/>
  <c r="B132" i="44"/>
  <c r="F128" i="41"/>
  <c r="G128" i="41" s="1"/>
  <c r="I128" i="41" s="1"/>
  <c r="I131" i="44"/>
  <c r="H131" i="44"/>
  <c r="J128" i="38"/>
  <c r="J127" i="41"/>
  <c r="B135" i="8"/>
  <c r="F135" i="8"/>
  <c r="H133" i="3"/>
  <c r="I133" i="3"/>
  <c r="I132" i="22"/>
  <c r="H132" i="22"/>
  <c r="H134" i="6"/>
  <c r="I134" i="6"/>
  <c r="B130" i="27"/>
  <c r="F130" i="27"/>
  <c r="H136" i="10"/>
  <c r="I136" i="10"/>
  <c r="B134" i="4"/>
  <c r="F134" i="4"/>
  <c r="B129" i="31"/>
  <c r="F129" i="31"/>
  <c r="H130" i="24"/>
  <c r="I130" i="24"/>
  <c r="B125" i="40"/>
  <c r="F125" i="40"/>
  <c r="I128" i="29"/>
  <c r="H128" i="29"/>
  <c r="H134" i="8"/>
  <c r="I134" i="8"/>
  <c r="B133" i="25"/>
  <c r="F133" i="25"/>
  <c r="B132" i="23"/>
  <c r="F132" i="23"/>
  <c r="H129" i="27"/>
  <c r="I129" i="27"/>
  <c r="B136" i="9"/>
  <c r="F136" i="9"/>
  <c r="H133" i="4"/>
  <c r="I133" i="4"/>
  <c r="B134" i="5"/>
  <c r="F134" i="5"/>
  <c r="H128" i="31"/>
  <c r="I128" i="31"/>
  <c r="B137" i="7"/>
  <c r="F137" i="7"/>
  <c r="H124" i="40"/>
  <c r="I124" i="40"/>
  <c r="B126" i="39"/>
  <c r="F126" i="39"/>
  <c r="H132" i="25"/>
  <c r="I132" i="25"/>
  <c r="B129" i="28"/>
  <c r="F129" i="28"/>
  <c r="B126" i="37"/>
  <c r="F126" i="37"/>
  <c r="I131" i="23"/>
  <c r="H131" i="23"/>
  <c r="I135" i="11"/>
  <c r="H135" i="11"/>
  <c r="I135" i="9"/>
  <c r="H135" i="9"/>
  <c r="H133" i="5"/>
  <c r="I133" i="5"/>
  <c r="B128" i="30"/>
  <c r="F128" i="30"/>
  <c r="B126" i="43"/>
  <c r="F126" i="43"/>
  <c r="H136" i="7"/>
  <c r="I136" i="7"/>
  <c r="B134" i="3"/>
  <c r="F134" i="3"/>
  <c r="B133" i="22"/>
  <c r="F133" i="22"/>
  <c r="B135" i="6"/>
  <c r="F135" i="6"/>
  <c r="H125" i="39"/>
  <c r="I125" i="39"/>
  <c r="H128" i="28"/>
  <c r="I128" i="28"/>
  <c r="H125" i="37"/>
  <c r="I125" i="37"/>
  <c r="B137" i="10"/>
  <c r="F137" i="10"/>
  <c r="B136" i="11"/>
  <c r="F136" i="11"/>
  <c r="B131" i="24"/>
  <c r="F131" i="24"/>
  <c r="H127" i="30"/>
  <c r="I127" i="30"/>
  <c r="I125" i="43"/>
  <c r="H125" i="43"/>
  <c r="B129" i="29"/>
  <c r="F129" i="29"/>
  <c r="D130" i="38" l="1"/>
  <c r="G133" i="45"/>
  <c r="H133" i="45" s="1"/>
  <c r="D130" i="42"/>
  <c r="E134" i="45"/>
  <c r="F134" i="45" s="1"/>
  <c r="D129" i="41"/>
  <c r="B129" i="41" s="1"/>
  <c r="H128" i="41"/>
  <c r="J128" i="41" s="1"/>
  <c r="E129" i="41"/>
  <c r="I133" i="45"/>
  <c r="D133" i="44"/>
  <c r="B133" i="44" s="1"/>
  <c r="G132" i="44"/>
  <c r="E133" i="44"/>
  <c r="H129" i="38"/>
  <c r="I129" i="38"/>
  <c r="E130" i="42"/>
  <c r="B130" i="42"/>
  <c r="I129" i="42"/>
  <c r="H129" i="42"/>
  <c r="E130" i="38"/>
  <c r="F130" i="38" s="1"/>
  <c r="B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D132" i="24"/>
  <c r="E132" i="24"/>
  <c r="D135" i="3"/>
  <c r="E135" i="3" s="1"/>
  <c r="G134" i="3"/>
  <c r="G126" i="37"/>
  <c r="D127" i="37"/>
  <c r="E127" i="37"/>
  <c r="G129" i="29"/>
  <c r="D130" i="29"/>
  <c r="E130" i="29"/>
  <c r="J127" i="30"/>
  <c r="G136" i="11"/>
  <c r="D137" i="11"/>
  <c r="E137" i="11"/>
  <c r="J125" i="37"/>
  <c r="J125" i="39"/>
  <c r="G133" i="22"/>
  <c r="D134" i="22"/>
  <c r="E134" i="22"/>
  <c r="J136" i="7"/>
  <c r="G128" i="30"/>
  <c r="D129" i="30"/>
  <c r="E129" i="30"/>
  <c r="G129" i="28"/>
  <c r="D130" i="28"/>
  <c r="E130" i="28"/>
  <c r="G126" i="39"/>
  <c r="D127" i="39"/>
  <c r="E127" i="39" s="1"/>
  <c r="G137" i="7"/>
  <c r="D138" i="7"/>
  <c r="E138" i="7" s="1"/>
  <c r="G134" i="5"/>
  <c r="D135" i="5"/>
  <c r="E135" i="5" s="1"/>
  <c r="G136" i="9"/>
  <c r="D137" i="9"/>
  <c r="E137" i="9"/>
  <c r="G132" i="23"/>
  <c r="D133" i="23"/>
  <c r="E133" i="23"/>
  <c r="J134" i="8"/>
  <c r="G125" i="40"/>
  <c r="D126" i="40"/>
  <c r="E126" i="40"/>
  <c r="G129" i="31"/>
  <c r="D130" i="31"/>
  <c r="E130" i="31" s="1"/>
  <c r="G137" i="10"/>
  <c r="D138" i="10"/>
  <c r="E138" i="10"/>
  <c r="G135" i="6"/>
  <c r="D136" i="6"/>
  <c r="E136" i="6"/>
  <c r="G126" i="43"/>
  <c r="D127" i="43"/>
  <c r="E127" i="43"/>
  <c r="G134" i="4"/>
  <c r="D135" i="4"/>
  <c r="E135" i="4" s="1"/>
  <c r="G130" i="27"/>
  <c r="D131" i="27"/>
  <c r="E131" i="27"/>
  <c r="G135" i="8"/>
  <c r="D136" i="8"/>
  <c r="E136" i="8"/>
  <c r="G133" i="25"/>
  <c r="D134" i="25"/>
  <c r="E134" i="25" s="1"/>
  <c r="J125" i="43"/>
  <c r="J128" i="29"/>
  <c r="F130" i="42" l="1"/>
  <c r="F129" i="41"/>
  <c r="D130" i="41" s="1"/>
  <c r="B130" i="41" s="1"/>
  <c r="G134" i="45"/>
  <c r="H134" i="45" s="1"/>
  <c r="D135" i="45"/>
  <c r="B135" i="45" s="1"/>
  <c r="J129" i="38"/>
  <c r="F133" i="44"/>
  <c r="D134" i="44" s="1"/>
  <c r="B134" i="44" s="1"/>
  <c r="I132" i="44"/>
  <c r="H132" i="44"/>
  <c r="J129" i="42"/>
  <c r="G130" i="38"/>
  <c r="D131" i="38"/>
  <c r="B131" i="38" s="1"/>
  <c r="G130" i="42"/>
  <c r="D131" i="42"/>
  <c r="B131" i="42" s="1"/>
  <c r="E131" i="42"/>
  <c r="I134" i="4"/>
  <c r="H134" i="4"/>
  <c r="B138" i="10"/>
  <c r="F138" i="10"/>
  <c r="I129" i="31"/>
  <c r="H129" i="31"/>
  <c r="B135" i="5"/>
  <c r="F135" i="5"/>
  <c r="H137" i="7"/>
  <c r="I137" i="7"/>
  <c r="B129" i="30"/>
  <c r="F129" i="30"/>
  <c r="B134" i="22"/>
  <c r="F134" i="22"/>
  <c r="B127" i="37"/>
  <c r="F127" i="37"/>
  <c r="B135" i="3"/>
  <c r="F135" i="3"/>
  <c r="B136" i="8"/>
  <c r="F136" i="8"/>
  <c r="H130" i="27"/>
  <c r="I130" i="27"/>
  <c r="B136" i="6"/>
  <c r="F136" i="6"/>
  <c r="I137" i="10"/>
  <c r="H137" i="10"/>
  <c r="B137" i="9"/>
  <c r="F137" i="9"/>
  <c r="H134" i="5"/>
  <c r="I134" i="5"/>
  <c r="B130" i="28"/>
  <c r="F130" i="28"/>
  <c r="H128" i="30"/>
  <c r="I128" i="30"/>
  <c r="H133" i="22"/>
  <c r="I133" i="22"/>
  <c r="B137" i="11"/>
  <c r="F137" i="11"/>
  <c r="B130" i="29"/>
  <c r="F130" i="29"/>
  <c r="I126" i="37"/>
  <c r="H126" i="37"/>
  <c r="H135" i="8"/>
  <c r="I135" i="8"/>
  <c r="B127" i="43"/>
  <c r="F127" i="43"/>
  <c r="H135" i="6"/>
  <c r="I135" i="6"/>
  <c r="B126" i="40"/>
  <c r="F126" i="40"/>
  <c r="B133" i="23"/>
  <c r="F133" i="23"/>
  <c r="H136" i="9"/>
  <c r="I136" i="9"/>
  <c r="B127" i="39"/>
  <c r="F127" i="39"/>
  <c r="H129" i="28"/>
  <c r="I129" i="28"/>
  <c r="H136" i="11"/>
  <c r="I136" i="11"/>
  <c r="H129" i="29"/>
  <c r="I129" i="29"/>
  <c r="B132" i="24"/>
  <c r="F132" i="24"/>
  <c r="B131" i="27"/>
  <c r="F131" i="27"/>
  <c r="B134" i="25"/>
  <c r="F134" i="25"/>
  <c r="H133" i="25"/>
  <c r="I133" i="25"/>
  <c r="B135" i="4"/>
  <c r="F135" i="4"/>
  <c r="H126" i="43"/>
  <c r="I126" i="43"/>
  <c r="B130" i="31"/>
  <c r="F130" i="31"/>
  <c r="I125" i="40"/>
  <c r="H125" i="40"/>
  <c r="I132" i="23"/>
  <c r="H132" i="23"/>
  <c r="B138" i="7"/>
  <c r="F138" i="7"/>
  <c r="H126" i="39"/>
  <c r="I126" i="39"/>
  <c r="H134" i="3"/>
  <c r="I134" i="3"/>
  <c r="H131" i="24"/>
  <c r="I131" i="24"/>
  <c r="I134" i="45" l="1"/>
  <c r="G129" i="41"/>
  <c r="E130" i="41"/>
  <c r="F130" i="41" s="1"/>
  <c r="D131" i="41" s="1"/>
  <c r="B131" i="41" s="1"/>
  <c r="E135" i="45"/>
  <c r="F135" i="45" s="1"/>
  <c r="D136" i="45" s="1"/>
  <c r="B136" i="45" s="1"/>
  <c r="E134" i="44"/>
  <c r="F134" i="44" s="1"/>
  <c r="D135" i="44" s="1"/>
  <c r="B135" i="44" s="1"/>
  <c r="E131" i="38"/>
  <c r="F131" i="38" s="1"/>
  <c r="G133" i="44"/>
  <c r="I133" i="44" s="1"/>
  <c r="F131" i="42"/>
  <c r="H130" i="42"/>
  <c r="I130" i="42"/>
  <c r="I130" i="38"/>
  <c r="H130" i="38"/>
  <c r="J137" i="7"/>
  <c r="J125" i="40"/>
  <c r="J128" i="30"/>
  <c r="J134" i="5"/>
  <c r="J126" i="39"/>
  <c r="G130" i="31"/>
  <c r="D131" i="31"/>
  <c r="E131" i="31" s="1"/>
  <c r="G135" i="4"/>
  <c r="D136" i="4"/>
  <c r="E136" i="4" s="1"/>
  <c r="G134" i="25"/>
  <c r="D135" i="25"/>
  <c r="E135" i="25" s="1"/>
  <c r="D133" i="24"/>
  <c r="G132" i="24"/>
  <c r="E133" i="24"/>
  <c r="G127" i="39"/>
  <c r="D128" i="39"/>
  <c r="E128" i="39" s="1"/>
  <c r="G133" i="23"/>
  <c r="D134" i="23"/>
  <c r="E134" i="23"/>
  <c r="J135" i="6"/>
  <c r="J135" i="8"/>
  <c r="G130" i="29"/>
  <c r="D131" i="29"/>
  <c r="E131" i="29" s="1"/>
  <c r="G130" i="28"/>
  <c r="D131" i="28"/>
  <c r="E131" i="28"/>
  <c r="D138" i="9"/>
  <c r="E138" i="9" s="1"/>
  <c r="G137" i="9"/>
  <c r="G136" i="6"/>
  <c r="D137" i="6"/>
  <c r="E137" i="6"/>
  <c r="G136" i="8"/>
  <c r="D137" i="8"/>
  <c r="E137" i="8" s="1"/>
  <c r="G127" i="37"/>
  <c r="D128" i="37"/>
  <c r="E128" i="37" s="1"/>
  <c r="G129" i="30"/>
  <c r="D130" i="30"/>
  <c r="E130" i="30" s="1"/>
  <c r="G135" i="5"/>
  <c r="D136" i="5"/>
  <c r="E136" i="5" s="1"/>
  <c r="G138" i="10"/>
  <c r="D139" i="10"/>
  <c r="E139" i="10" s="1"/>
  <c r="J134" i="3"/>
  <c r="G138" i="7"/>
  <c r="D139" i="7"/>
  <c r="E139" i="7" s="1"/>
  <c r="J126" i="43"/>
  <c r="G131" i="27"/>
  <c r="D132" i="27"/>
  <c r="E132" i="27" s="1"/>
  <c r="J129" i="29"/>
  <c r="J129" i="28"/>
  <c r="G126" i="40"/>
  <c r="D127" i="40"/>
  <c r="E127" i="40"/>
  <c r="G127" i="43"/>
  <c r="D128" i="43"/>
  <c r="E128" i="43" s="1"/>
  <c r="D138" i="11"/>
  <c r="E138" i="11" s="1"/>
  <c r="G137" i="11"/>
  <c r="J130" i="27"/>
  <c r="G135" i="3"/>
  <c r="D136" i="3"/>
  <c r="E136" i="3"/>
  <c r="G134" i="22"/>
  <c r="D135" i="22"/>
  <c r="E135" i="22" s="1"/>
  <c r="J126" i="37"/>
  <c r="J137" i="10"/>
  <c r="J129" i="31"/>
  <c r="J134" i="4"/>
  <c r="E131" i="41" l="1"/>
  <c r="G130" i="41"/>
  <c r="I129" i="41"/>
  <c r="H129" i="41"/>
  <c r="G135" i="45"/>
  <c r="H135" i="45" s="1"/>
  <c r="E135" i="44"/>
  <c r="F135" i="44" s="1"/>
  <c r="D136" i="44" s="1"/>
  <c r="E136" i="45"/>
  <c r="F136" i="45" s="1"/>
  <c r="G136" i="45" s="1"/>
  <c r="H133" i="44"/>
  <c r="G134" i="44"/>
  <c r="H134" i="44" s="1"/>
  <c r="I135" i="45"/>
  <c r="D132" i="38"/>
  <c r="B132" i="38" s="1"/>
  <c r="G131" i="38"/>
  <c r="I131" i="38" s="1"/>
  <c r="F131" i="41"/>
  <c r="D132" i="41" s="1"/>
  <c r="B132" i="41" s="1"/>
  <c r="J130" i="38"/>
  <c r="J155" i="38" s="1"/>
  <c r="G131" i="42"/>
  <c r="D132" i="42"/>
  <c r="J130" i="42"/>
  <c r="J155" i="42" s="1"/>
  <c r="H130" i="41"/>
  <c r="I130" i="41"/>
  <c r="B136" i="3"/>
  <c r="F136" i="3"/>
  <c r="H127" i="43"/>
  <c r="I127" i="43"/>
  <c r="H131" i="27"/>
  <c r="I131" i="27"/>
  <c r="B128" i="37"/>
  <c r="F128" i="37"/>
  <c r="H136" i="8"/>
  <c r="I136" i="8"/>
  <c r="B134" i="23"/>
  <c r="F134" i="23"/>
  <c r="I127" i="39"/>
  <c r="H127" i="39"/>
  <c r="B135" i="22"/>
  <c r="F135" i="22"/>
  <c r="H135" i="3"/>
  <c r="I135" i="3"/>
  <c r="B130" i="30"/>
  <c r="F130" i="30"/>
  <c r="H137" i="9"/>
  <c r="I137" i="9"/>
  <c r="H133" i="23"/>
  <c r="I133" i="23"/>
  <c r="B135" i="25"/>
  <c r="F135" i="25"/>
  <c r="I135" i="4"/>
  <c r="H135" i="4"/>
  <c r="I134" i="22"/>
  <c r="H134" i="22"/>
  <c r="B127" i="40"/>
  <c r="F127" i="40"/>
  <c r="B136" i="5"/>
  <c r="F136" i="5"/>
  <c r="H129" i="30"/>
  <c r="I129" i="30"/>
  <c r="B137" i="6"/>
  <c r="F137" i="6"/>
  <c r="B138" i="9"/>
  <c r="F138" i="9"/>
  <c r="H132" i="24"/>
  <c r="I132" i="24"/>
  <c r="I134" i="25"/>
  <c r="H134" i="25"/>
  <c r="I137" i="11"/>
  <c r="H137" i="11"/>
  <c r="H138" i="7"/>
  <c r="I138" i="7"/>
  <c r="H138" i="10"/>
  <c r="I138" i="10"/>
  <c r="B131" i="28"/>
  <c r="F131" i="28"/>
  <c r="H130" i="29"/>
  <c r="I130" i="29"/>
  <c r="B136" i="4"/>
  <c r="F136" i="4"/>
  <c r="H130" i="31"/>
  <c r="I130" i="31"/>
  <c r="B138" i="11"/>
  <c r="F138" i="11"/>
  <c r="H127" i="37"/>
  <c r="I127" i="37"/>
  <c r="H130" i="28"/>
  <c r="I130" i="28"/>
  <c r="B128" i="43"/>
  <c r="F128" i="43"/>
  <c r="H126" i="40"/>
  <c r="I126" i="40"/>
  <c r="B132" i="27"/>
  <c r="F132" i="27"/>
  <c r="B139" i="7"/>
  <c r="F139" i="7"/>
  <c r="B139" i="10"/>
  <c r="F139" i="10"/>
  <c r="I135" i="5"/>
  <c r="H135" i="5"/>
  <c r="B137" i="8"/>
  <c r="F137" i="8"/>
  <c r="H136" i="6"/>
  <c r="I136" i="6"/>
  <c r="B131" i="29"/>
  <c r="F131" i="29"/>
  <c r="B128" i="39"/>
  <c r="F128" i="39"/>
  <c r="B133" i="24"/>
  <c r="F133" i="24"/>
  <c r="B131" i="31"/>
  <c r="F131" i="31"/>
  <c r="J129" i="41" l="1"/>
  <c r="H131" i="38"/>
  <c r="I134" i="44"/>
  <c r="E132" i="38"/>
  <c r="F132" i="38" s="1"/>
  <c r="D133" i="38" s="1"/>
  <c r="E137" i="45"/>
  <c r="D137" i="45"/>
  <c r="B137" i="45" s="1"/>
  <c r="G135" i="44"/>
  <c r="H135" i="44" s="1"/>
  <c r="I136" i="45"/>
  <c r="H136" i="45"/>
  <c r="G131" i="41"/>
  <c r="H131" i="41" s="1"/>
  <c r="J130" i="41"/>
  <c r="J155" i="41" s="1"/>
  <c r="E136" i="44"/>
  <c r="F136" i="44" s="1"/>
  <c r="B136" i="44"/>
  <c r="E132" i="41"/>
  <c r="F132" i="41" s="1"/>
  <c r="G132" i="41" s="1"/>
  <c r="E132" i="42"/>
  <c r="F132" i="42" s="1"/>
  <c r="B132" i="42"/>
  <c r="H131" i="42"/>
  <c r="I131" i="42"/>
  <c r="J127" i="43"/>
  <c r="J136" i="6"/>
  <c r="J126" i="40"/>
  <c r="J130" i="28"/>
  <c r="J138" i="7"/>
  <c r="J129" i="30"/>
  <c r="J127" i="39"/>
  <c r="G139" i="7"/>
  <c r="D140" i="7"/>
  <c r="E140" i="7" s="1"/>
  <c r="G138" i="11"/>
  <c r="D139" i="11"/>
  <c r="E139" i="11" s="1"/>
  <c r="G136" i="4"/>
  <c r="D137" i="4"/>
  <c r="E137" i="4"/>
  <c r="G131" i="28"/>
  <c r="D132" i="28"/>
  <c r="E132" i="28"/>
  <c r="G138" i="9"/>
  <c r="D139" i="9"/>
  <c r="E139" i="9" s="1"/>
  <c r="G127" i="40"/>
  <c r="D128" i="40"/>
  <c r="E128" i="40"/>
  <c r="G130" i="30"/>
  <c r="D131" i="30"/>
  <c r="E131" i="30"/>
  <c r="G135" i="22"/>
  <c r="D136" i="22"/>
  <c r="E136" i="22"/>
  <c r="G134" i="23"/>
  <c r="D135" i="23"/>
  <c r="E135" i="23" s="1"/>
  <c r="G128" i="37"/>
  <c r="D129" i="37"/>
  <c r="E129" i="37"/>
  <c r="G131" i="31"/>
  <c r="D132" i="31"/>
  <c r="E132" i="31"/>
  <c r="G128" i="39"/>
  <c r="D129" i="39"/>
  <c r="E129" i="39" s="1"/>
  <c r="J135" i="5"/>
  <c r="J135" i="4"/>
  <c r="G133" i="24"/>
  <c r="D134" i="24"/>
  <c r="E134" i="24" s="1"/>
  <c r="G131" i="29"/>
  <c r="D132" i="29"/>
  <c r="E132" i="29" s="1"/>
  <c r="G137" i="8"/>
  <c r="D138" i="8"/>
  <c r="E138" i="8" s="1"/>
  <c r="G139" i="10"/>
  <c r="D140" i="10"/>
  <c r="E140" i="10" s="1"/>
  <c r="G132" i="27"/>
  <c r="D133" i="27"/>
  <c r="E133" i="27" s="1"/>
  <c r="G128" i="43"/>
  <c r="D129" i="43"/>
  <c r="E129" i="43"/>
  <c r="J127" i="37"/>
  <c r="J130" i="31"/>
  <c r="J130" i="29"/>
  <c r="J138" i="10"/>
  <c r="G137" i="6"/>
  <c r="D138" i="6"/>
  <c r="E138" i="6" s="1"/>
  <c r="G136" i="5"/>
  <c r="D137" i="5"/>
  <c r="E137" i="5" s="1"/>
  <c r="G135" i="25"/>
  <c r="D136" i="25"/>
  <c r="E136" i="25"/>
  <c r="J135" i="3"/>
  <c r="J136" i="8"/>
  <c r="J131" i="27"/>
  <c r="G136" i="3"/>
  <c r="D137" i="3"/>
  <c r="E137" i="3" s="1"/>
  <c r="F137" i="45" l="1"/>
  <c r="D138" i="45" s="1"/>
  <c r="I131" i="41"/>
  <c r="I135" i="44"/>
  <c r="G132" i="38"/>
  <c r="H132" i="38" s="1"/>
  <c r="G137" i="45"/>
  <c r="I137" i="45" s="1"/>
  <c r="E138" i="45"/>
  <c r="F138" i="45" s="1"/>
  <c r="B138" i="45"/>
  <c r="D137" i="44"/>
  <c r="G136" i="44"/>
  <c r="D133" i="41"/>
  <c r="B133" i="41" s="1"/>
  <c r="D133" i="42"/>
  <c r="G132" i="42"/>
  <c r="E133" i="38"/>
  <c r="F133" i="38" s="1"/>
  <c r="B133" i="38"/>
  <c r="I132" i="41"/>
  <c r="H132" i="41"/>
  <c r="E133" i="41"/>
  <c r="B136" i="25"/>
  <c r="F136" i="25"/>
  <c r="H136" i="5"/>
  <c r="I136" i="5"/>
  <c r="B133" i="27"/>
  <c r="F133" i="27"/>
  <c r="H139" i="10"/>
  <c r="I139" i="10"/>
  <c r="B134" i="24"/>
  <c r="F134" i="24"/>
  <c r="B132" i="31"/>
  <c r="F132" i="31"/>
  <c r="H128" i="37"/>
  <c r="I128" i="37"/>
  <c r="B131" i="30"/>
  <c r="F131" i="30"/>
  <c r="H127" i="40"/>
  <c r="I127" i="40"/>
  <c r="B137" i="4"/>
  <c r="F137" i="4"/>
  <c r="I138" i="11"/>
  <c r="H138" i="11"/>
  <c r="H135" i="25"/>
  <c r="I135" i="25"/>
  <c r="B129" i="43"/>
  <c r="F129" i="43"/>
  <c r="I132" i="27"/>
  <c r="H132" i="27"/>
  <c r="B132" i="29"/>
  <c r="F132" i="29"/>
  <c r="H133" i="24"/>
  <c r="I133" i="24"/>
  <c r="B129" i="39"/>
  <c r="F129" i="39"/>
  <c r="I131" i="31"/>
  <c r="H131" i="31"/>
  <c r="B136" i="22"/>
  <c r="F136" i="22"/>
  <c r="I130" i="30"/>
  <c r="H130" i="30"/>
  <c r="B132" i="28"/>
  <c r="F132" i="28"/>
  <c r="H136" i="4"/>
  <c r="I136" i="4"/>
  <c r="B138" i="6"/>
  <c r="F138" i="6"/>
  <c r="I128" i="43"/>
  <c r="H128" i="43"/>
  <c r="B138" i="8"/>
  <c r="F138" i="8"/>
  <c r="I131" i="29"/>
  <c r="H131" i="29"/>
  <c r="H128" i="39"/>
  <c r="I128" i="39"/>
  <c r="B135" i="23"/>
  <c r="F135" i="23"/>
  <c r="H135" i="22"/>
  <c r="I135" i="22"/>
  <c r="B139" i="9"/>
  <c r="F139" i="9"/>
  <c r="I131" i="28"/>
  <c r="H131" i="28"/>
  <c r="B140" i="7"/>
  <c r="F140" i="7"/>
  <c r="B137" i="3"/>
  <c r="F137" i="3"/>
  <c r="H136" i="3"/>
  <c r="I136" i="3"/>
  <c r="B137" i="5"/>
  <c r="F137" i="5"/>
  <c r="H137" i="6"/>
  <c r="I137" i="6"/>
  <c r="B140" i="10"/>
  <c r="F140" i="10"/>
  <c r="H137" i="8"/>
  <c r="I137" i="8"/>
  <c r="B129" i="37"/>
  <c r="F129" i="37"/>
  <c r="H134" i="23"/>
  <c r="I134" i="23"/>
  <c r="B128" i="40"/>
  <c r="F128" i="40"/>
  <c r="I138" i="9"/>
  <c r="H138" i="9"/>
  <c r="B139" i="11"/>
  <c r="F139" i="11"/>
  <c r="H139" i="7"/>
  <c r="I139" i="7"/>
  <c r="I132" i="38" l="1"/>
  <c r="H137" i="45"/>
  <c r="D139" i="45"/>
  <c r="B139" i="45" s="1"/>
  <c r="G138" i="45"/>
  <c r="E139" i="45"/>
  <c r="I136" i="44"/>
  <c r="H136" i="44"/>
  <c r="F133" i="41"/>
  <c r="G133" i="41" s="1"/>
  <c r="E137" i="44"/>
  <c r="F137" i="44" s="1"/>
  <c r="B137" i="44"/>
  <c r="D134" i="38"/>
  <c r="G133" i="38"/>
  <c r="I132" i="42"/>
  <c r="H132" i="42"/>
  <c r="E133" i="42"/>
  <c r="F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E141" i="7" s="1"/>
  <c r="G140" i="7"/>
  <c r="G139" i="9"/>
  <c r="D140" i="9"/>
  <c r="E140" i="9" s="1"/>
  <c r="G135" i="23"/>
  <c r="D136" i="23"/>
  <c r="E136" i="23"/>
  <c r="J136" i="4"/>
  <c r="G137" i="4"/>
  <c r="D138" i="4"/>
  <c r="E138" i="4"/>
  <c r="G131" i="30"/>
  <c r="D132" i="30"/>
  <c r="E132" i="30"/>
  <c r="G132" i="31"/>
  <c r="D133" i="31"/>
  <c r="E133" i="31" s="1"/>
  <c r="J139" i="10"/>
  <c r="J136" i="5"/>
  <c r="G139" i="11"/>
  <c r="D140" i="11"/>
  <c r="E140" i="11"/>
  <c r="G128" i="40"/>
  <c r="D129" i="40"/>
  <c r="E129" i="40" s="1"/>
  <c r="G129" i="37"/>
  <c r="D130" i="37"/>
  <c r="E130" i="37" s="1"/>
  <c r="G140" i="10"/>
  <c r="D141" i="10"/>
  <c r="E141" i="10" s="1"/>
  <c r="G137" i="5"/>
  <c r="D138" i="5"/>
  <c r="E138" i="5"/>
  <c r="G137" i="3"/>
  <c r="D138" i="3"/>
  <c r="E138" i="3" s="1"/>
  <c r="J128" i="39"/>
  <c r="G138" i="8"/>
  <c r="D139" i="8"/>
  <c r="E139" i="8" s="1"/>
  <c r="G138" i="6"/>
  <c r="D139" i="6"/>
  <c r="E139" i="6" s="1"/>
  <c r="G132" i="28"/>
  <c r="D133" i="28"/>
  <c r="E133" i="28"/>
  <c r="G136" i="22"/>
  <c r="D137" i="22"/>
  <c r="E137" i="22" s="1"/>
  <c r="G129" i="39"/>
  <c r="D130" i="39"/>
  <c r="E130" i="39" s="1"/>
  <c r="G132" i="29"/>
  <c r="D133" i="29"/>
  <c r="E133" i="29" s="1"/>
  <c r="G129" i="43"/>
  <c r="D130" i="43"/>
  <c r="E130" i="43"/>
  <c r="J127" i="40"/>
  <c r="J128" i="37"/>
  <c r="G134" i="24"/>
  <c r="D135" i="24"/>
  <c r="E135" i="24" s="1"/>
  <c r="G133" i="27"/>
  <c r="D134" i="27"/>
  <c r="E134" i="27"/>
  <c r="G136" i="25"/>
  <c r="D137" i="25"/>
  <c r="E137" i="25"/>
  <c r="F139" i="45" l="1"/>
  <c r="D134" i="41"/>
  <c r="B134" i="41" s="1"/>
  <c r="D140" i="45"/>
  <c r="B140" i="45" s="1"/>
  <c r="G139" i="45"/>
  <c r="H138" i="45"/>
  <c r="I138" i="45"/>
  <c r="D138" i="44"/>
  <c r="B138" i="44" s="1"/>
  <c r="G137" i="44"/>
  <c r="G133" i="42"/>
  <c r="D134" i="42"/>
  <c r="I133" i="41"/>
  <c r="H133" i="41"/>
  <c r="I133" i="38"/>
  <c r="H133" i="38"/>
  <c r="E134" i="41"/>
  <c r="F134" i="41" s="1"/>
  <c r="E134" i="38"/>
  <c r="F134" i="38" s="1"/>
  <c r="B134" i="38"/>
  <c r="B130" i="43"/>
  <c r="F130" i="43"/>
  <c r="H132" i="29"/>
  <c r="I132" i="29"/>
  <c r="B133" i="28"/>
  <c r="F133" i="28"/>
  <c r="H138" i="6"/>
  <c r="I138" i="6"/>
  <c r="B141" i="10"/>
  <c r="F141" i="10"/>
  <c r="H129" i="37"/>
  <c r="I129" i="37"/>
  <c r="B138" i="4"/>
  <c r="F138" i="4"/>
  <c r="B136" i="23"/>
  <c r="F136" i="23"/>
  <c r="I139" i="9"/>
  <c r="H139" i="9"/>
  <c r="B134" i="27"/>
  <c r="F134" i="27"/>
  <c r="B137" i="25"/>
  <c r="F137" i="25"/>
  <c r="H133" i="27"/>
  <c r="I133" i="27"/>
  <c r="I129" i="43"/>
  <c r="H129" i="43"/>
  <c r="B137" i="22"/>
  <c r="F137" i="22"/>
  <c r="H132" i="28"/>
  <c r="I132" i="28"/>
  <c r="B138" i="5"/>
  <c r="F138" i="5"/>
  <c r="H140" i="10"/>
  <c r="I140" i="10"/>
  <c r="B140" i="11"/>
  <c r="F140" i="11"/>
  <c r="B132" i="30"/>
  <c r="F132" i="30"/>
  <c r="H137" i="4"/>
  <c r="I137" i="4"/>
  <c r="I135" i="23"/>
  <c r="H135" i="23"/>
  <c r="H134" i="24"/>
  <c r="I134" i="24"/>
  <c r="H136" i="25"/>
  <c r="I136" i="25"/>
  <c r="B130" i="39"/>
  <c r="F130" i="39"/>
  <c r="H136" i="22"/>
  <c r="I136" i="22"/>
  <c r="B139" i="8"/>
  <c r="F139" i="8"/>
  <c r="B138" i="3"/>
  <c r="F138" i="3"/>
  <c r="H137" i="5"/>
  <c r="I137" i="5"/>
  <c r="B129" i="40"/>
  <c r="F129" i="40"/>
  <c r="H139" i="11"/>
  <c r="I139" i="11"/>
  <c r="B133" i="31"/>
  <c r="F133" i="31"/>
  <c r="H131" i="30"/>
  <c r="I131" i="30"/>
  <c r="H140" i="7"/>
  <c r="I140" i="7"/>
  <c r="B135" i="24"/>
  <c r="F135" i="24"/>
  <c r="B133" i="29"/>
  <c r="F133" i="29"/>
  <c r="H129" i="39"/>
  <c r="I129" i="39"/>
  <c r="B139" i="6"/>
  <c r="F139" i="6"/>
  <c r="H138" i="8"/>
  <c r="I138" i="8"/>
  <c r="H137" i="3"/>
  <c r="I137" i="3"/>
  <c r="B130" i="37"/>
  <c r="F130" i="37"/>
  <c r="H128" i="40"/>
  <c r="I128" i="40"/>
  <c r="H132" i="31"/>
  <c r="I132" i="31"/>
  <c r="B140" i="9"/>
  <c r="F140" i="9"/>
  <c r="B141" i="7"/>
  <c r="F141" i="7"/>
  <c r="E140" i="45" l="1"/>
  <c r="E138" i="44"/>
  <c r="F138" i="44" s="1"/>
  <c r="F140" i="45"/>
  <c r="H139" i="45"/>
  <c r="I139" i="45"/>
  <c r="I137" i="44"/>
  <c r="H137" i="44"/>
  <c r="G134" i="41"/>
  <c r="D135" i="41"/>
  <c r="D135" i="38"/>
  <c r="G134" i="38"/>
  <c r="E134" i="42"/>
  <c r="F134" i="42" s="1"/>
  <c r="B134" i="42"/>
  <c r="I133" i="42"/>
  <c r="H133" i="42"/>
  <c r="J129" i="37"/>
  <c r="J138" i="6"/>
  <c r="J132" i="29"/>
  <c r="J129" i="43"/>
  <c r="G141" i="7"/>
  <c r="D142" i="7"/>
  <c r="E142" i="7" s="1"/>
  <c r="J132" i="31"/>
  <c r="G130" i="37"/>
  <c r="D131" i="37"/>
  <c r="E131" i="37" s="1"/>
  <c r="J138" i="8"/>
  <c r="J129" i="39"/>
  <c r="G135" i="24"/>
  <c r="D136" i="24"/>
  <c r="E136" i="24" s="1"/>
  <c r="J131" i="30"/>
  <c r="J137" i="5"/>
  <c r="G139" i="8"/>
  <c r="D140" i="8"/>
  <c r="E140" i="8" s="1"/>
  <c r="G130" i="39"/>
  <c r="D131" i="39"/>
  <c r="E131" i="39" s="1"/>
  <c r="J137" i="4"/>
  <c r="G140" i="11"/>
  <c r="D141" i="11"/>
  <c r="E141" i="11" s="1"/>
  <c r="G138" i="5"/>
  <c r="D139" i="5"/>
  <c r="E139" i="5" s="1"/>
  <c r="G137" i="22"/>
  <c r="D138" i="22"/>
  <c r="E138" i="22" s="1"/>
  <c r="J133" i="27"/>
  <c r="G134" i="27"/>
  <c r="D135" i="27"/>
  <c r="E135" i="27" s="1"/>
  <c r="G136" i="23"/>
  <c r="D137" i="23"/>
  <c r="E137" i="23"/>
  <c r="G140" i="9"/>
  <c r="D141" i="9"/>
  <c r="E141" i="9" s="1"/>
  <c r="J128" i="40"/>
  <c r="J137" i="3"/>
  <c r="G139" i="6"/>
  <c r="D140" i="6"/>
  <c r="E140" i="6" s="1"/>
  <c r="G133" i="29"/>
  <c r="D134" i="29"/>
  <c r="E134" i="29" s="1"/>
  <c r="J140" i="7"/>
  <c r="G133" i="31"/>
  <c r="D134" i="31"/>
  <c r="E134" i="31" s="1"/>
  <c r="G129" i="40"/>
  <c r="D130" i="40"/>
  <c r="E130" i="40" s="1"/>
  <c r="G138" i="3"/>
  <c r="D139" i="3"/>
  <c r="E139" i="3" s="1"/>
  <c r="G132" i="30"/>
  <c r="D133" i="30"/>
  <c r="E133" i="30" s="1"/>
  <c r="J140" i="10"/>
  <c r="J132" i="28"/>
  <c r="G137" i="25"/>
  <c r="D138" i="25"/>
  <c r="E138" i="25"/>
  <c r="G138" i="4"/>
  <c r="D139" i="4"/>
  <c r="E139" i="4" s="1"/>
  <c r="G141" i="10"/>
  <c r="D142" i="10"/>
  <c r="E142" i="10" s="1"/>
  <c r="G133" i="28"/>
  <c r="D134" i="28"/>
  <c r="E134" i="28"/>
  <c r="G130" i="43"/>
  <c r="D131" i="43"/>
  <c r="E131" i="43" s="1"/>
  <c r="E139" i="44" l="1"/>
  <c r="D139" i="44"/>
  <c r="B139" i="44" s="1"/>
  <c r="G138" i="44"/>
  <c r="D141" i="45"/>
  <c r="E141" i="45" s="1"/>
  <c r="G140" i="45"/>
  <c r="I138" i="44"/>
  <c r="H138" i="44"/>
  <c r="F139" i="44"/>
  <c r="I134" i="38"/>
  <c r="H134" i="38"/>
  <c r="D135" i="42"/>
  <c r="G134" i="42"/>
  <c r="E135" i="38"/>
  <c r="F135" i="38" s="1"/>
  <c r="B135" i="38"/>
  <c r="E135" i="41"/>
  <c r="F135" i="41" s="1"/>
  <c r="B135" i="41"/>
  <c r="I134" i="41"/>
  <c r="H134" i="41"/>
  <c r="B139" i="4"/>
  <c r="F139" i="4"/>
  <c r="H137" i="25"/>
  <c r="I137" i="25"/>
  <c r="B133" i="30"/>
  <c r="F133" i="30"/>
  <c r="I138" i="3"/>
  <c r="H138" i="3"/>
  <c r="B140" i="6"/>
  <c r="F140" i="6"/>
  <c r="B137" i="23"/>
  <c r="F137" i="23"/>
  <c r="I134" i="27"/>
  <c r="H134" i="27"/>
  <c r="I137" i="22"/>
  <c r="H137" i="22"/>
  <c r="B140" i="8"/>
  <c r="F140" i="8"/>
  <c r="B142" i="10"/>
  <c r="F142" i="10"/>
  <c r="I138" i="4"/>
  <c r="H138" i="4"/>
  <c r="H132" i="30"/>
  <c r="I132" i="30"/>
  <c r="B134" i="31"/>
  <c r="F134" i="31"/>
  <c r="B134" i="29"/>
  <c r="F134" i="29"/>
  <c r="H139" i="6"/>
  <c r="I139" i="6"/>
  <c r="B141" i="9"/>
  <c r="F141" i="9"/>
  <c r="I136" i="23"/>
  <c r="H136" i="23"/>
  <c r="B141" i="11"/>
  <c r="F141" i="11"/>
  <c r="B131" i="39"/>
  <c r="F131" i="39"/>
  <c r="H139" i="8"/>
  <c r="I139" i="8"/>
  <c r="B136" i="24"/>
  <c r="F136" i="24"/>
  <c r="B134" i="28"/>
  <c r="F134" i="28"/>
  <c r="H141" i="10"/>
  <c r="I141" i="10"/>
  <c r="B130" i="40"/>
  <c r="F130" i="40"/>
  <c r="I133" i="31"/>
  <c r="H133" i="31"/>
  <c r="H133" i="29"/>
  <c r="I133" i="29"/>
  <c r="I140" i="9"/>
  <c r="H140" i="9"/>
  <c r="B139" i="5"/>
  <c r="F139" i="5"/>
  <c r="H140" i="11"/>
  <c r="I140" i="11"/>
  <c r="H130" i="39"/>
  <c r="I130" i="39"/>
  <c r="I135" i="24"/>
  <c r="H135" i="24"/>
  <c r="B131" i="37"/>
  <c r="F131" i="37"/>
  <c r="B142" i="7"/>
  <c r="F142" i="7"/>
  <c r="H130" i="43"/>
  <c r="I130" i="43"/>
  <c r="B131" i="43"/>
  <c r="F131" i="43"/>
  <c r="I133" i="28"/>
  <c r="H133" i="28"/>
  <c r="B138" i="25"/>
  <c r="F138" i="25"/>
  <c r="B139" i="3"/>
  <c r="F139" i="3"/>
  <c r="I129" i="40"/>
  <c r="H129" i="40"/>
  <c r="B135" i="27"/>
  <c r="F135" i="27"/>
  <c r="B138" i="22"/>
  <c r="F138" i="22"/>
  <c r="I138" i="5"/>
  <c r="H138" i="5"/>
  <c r="H130" i="37"/>
  <c r="I130" i="37"/>
  <c r="H141" i="7"/>
  <c r="I141" i="7"/>
  <c r="H140" i="45" l="1"/>
  <c r="I140" i="45"/>
  <c r="B141" i="45"/>
  <c r="F141" i="45"/>
  <c r="G139" i="44"/>
  <c r="D140" i="44"/>
  <c r="B140" i="44" s="1"/>
  <c r="D136" i="41"/>
  <c r="G135" i="41"/>
  <c r="E135" i="42"/>
  <c r="F135" i="42" s="1"/>
  <c r="B135" i="42"/>
  <c r="G135" i="38"/>
  <c r="D136" i="38"/>
  <c r="I134" i="42"/>
  <c r="H134" i="42"/>
  <c r="J138" i="5"/>
  <c r="J133" i="28"/>
  <c r="J130" i="37"/>
  <c r="J155" i="37" s="1"/>
  <c r="J141" i="10"/>
  <c r="J139" i="6"/>
  <c r="J138" i="3"/>
  <c r="G138" i="22"/>
  <c r="D139" i="22"/>
  <c r="E139" i="22" s="1"/>
  <c r="G138" i="25"/>
  <c r="D139" i="25"/>
  <c r="E139" i="25"/>
  <c r="G142" i="7"/>
  <c r="D143" i="7"/>
  <c r="E143" i="7" s="1"/>
  <c r="G136" i="24"/>
  <c r="D137" i="24"/>
  <c r="E137" i="24" s="1"/>
  <c r="G131" i="39"/>
  <c r="D132" i="39"/>
  <c r="E132" i="39" s="1"/>
  <c r="G134" i="31"/>
  <c r="D135" i="31"/>
  <c r="E135" i="31" s="1"/>
  <c r="G140" i="8"/>
  <c r="D141" i="8"/>
  <c r="E141" i="8" s="1"/>
  <c r="G140" i="6"/>
  <c r="D141" i="6"/>
  <c r="E141" i="6" s="1"/>
  <c r="G133" i="30"/>
  <c r="D134" i="30"/>
  <c r="E134" i="30" s="1"/>
  <c r="J138" i="4"/>
  <c r="J134" i="27"/>
  <c r="J141" i="7"/>
  <c r="G135" i="27"/>
  <c r="D136" i="27"/>
  <c r="E136" i="27" s="1"/>
  <c r="G139" i="3"/>
  <c r="D140" i="3"/>
  <c r="E140" i="3" s="1"/>
  <c r="J130" i="43"/>
  <c r="J155" i="43" s="1"/>
  <c r="G131" i="37"/>
  <c r="D132" i="37"/>
  <c r="E132" i="37" s="1"/>
  <c r="J130" i="39"/>
  <c r="J155" i="39" s="1"/>
  <c r="G139" i="5"/>
  <c r="D140" i="5"/>
  <c r="E140" i="5" s="1"/>
  <c r="J133" i="29"/>
  <c r="G130" i="40"/>
  <c r="D131" i="40"/>
  <c r="E131" i="40" s="1"/>
  <c r="G134" i="28"/>
  <c r="D135" i="28"/>
  <c r="E135" i="28"/>
  <c r="J139" i="8"/>
  <c r="G141" i="11"/>
  <c r="D142" i="11"/>
  <c r="E142" i="11"/>
  <c r="G141" i="9"/>
  <c r="D142" i="9"/>
  <c r="E142" i="9" s="1"/>
  <c r="G134" i="29"/>
  <c r="D135" i="29"/>
  <c r="E135" i="29" s="1"/>
  <c r="J132" i="30"/>
  <c r="G142" i="10"/>
  <c r="D143" i="10"/>
  <c r="E143" i="10" s="1"/>
  <c r="G137" i="23"/>
  <c r="D138" i="23"/>
  <c r="E138" i="23" s="1"/>
  <c r="G131" i="43"/>
  <c r="D132" i="43"/>
  <c r="E132" i="43" s="1"/>
  <c r="G139" i="4"/>
  <c r="D140" i="4"/>
  <c r="E140" i="4" s="1"/>
  <c r="J129" i="40"/>
  <c r="J133" i="31"/>
  <c r="E140" i="44" l="1"/>
  <c r="G141" i="45"/>
  <c r="D142" i="45"/>
  <c r="B142" i="45" s="1"/>
  <c r="H139" i="44"/>
  <c r="I139" i="44"/>
  <c r="F140" i="44"/>
  <c r="G135" i="42"/>
  <c r="D136" i="42"/>
  <c r="E136" i="38"/>
  <c r="F136" i="38" s="1"/>
  <c r="B136" i="38"/>
  <c r="I135" i="38"/>
  <c r="H135" i="38"/>
  <c r="I135" i="41"/>
  <c r="H135" i="41"/>
  <c r="E136" i="41"/>
  <c r="F136" i="41" s="1"/>
  <c r="B136" i="41"/>
  <c r="I137" i="23"/>
  <c r="H137" i="23"/>
  <c r="B142" i="11"/>
  <c r="F142" i="11"/>
  <c r="H130" i="40"/>
  <c r="I130" i="40"/>
  <c r="H139" i="5"/>
  <c r="I139" i="5"/>
  <c r="I131" i="37"/>
  <c r="H131" i="37"/>
  <c r="H139" i="3"/>
  <c r="I139" i="3"/>
  <c r="H140" i="6"/>
  <c r="I140" i="6"/>
  <c r="B140" i="4"/>
  <c r="F140" i="4"/>
  <c r="B142" i="9"/>
  <c r="F142" i="9"/>
  <c r="H134" i="28"/>
  <c r="I134" i="28"/>
  <c r="B135" i="31"/>
  <c r="F135" i="31"/>
  <c r="B139" i="25"/>
  <c r="F139" i="25"/>
  <c r="I138" i="22"/>
  <c r="H138" i="22"/>
  <c r="H139" i="4"/>
  <c r="I139" i="4"/>
  <c r="B143" i="10"/>
  <c r="F143" i="10"/>
  <c r="B135" i="29"/>
  <c r="F135" i="29"/>
  <c r="H141" i="9"/>
  <c r="I141" i="9"/>
  <c r="B136" i="27"/>
  <c r="F136" i="27"/>
  <c r="B141" i="8"/>
  <c r="F141" i="8"/>
  <c r="H134" i="31"/>
  <c r="I134" i="31"/>
  <c r="B143" i="7"/>
  <c r="F143" i="7"/>
  <c r="I138" i="25"/>
  <c r="H138" i="25"/>
  <c r="B132" i="43"/>
  <c r="F132" i="43"/>
  <c r="B135" i="28"/>
  <c r="F135" i="28"/>
  <c r="B134" i="30"/>
  <c r="F134" i="30"/>
  <c r="B132" i="39"/>
  <c r="F132" i="39"/>
  <c r="I136" i="24"/>
  <c r="H136" i="24"/>
  <c r="B139" i="22"/>
  <c r="F139" i="22"/>
  <c r="I131" i="43"/>
  <c r="H131" i="43"/>
  <c r="H141" i="11"/>
  <c r="I141" i="11"/>
  <c r="H133" i="30"/>
  <c r="I133" i="30"/>
  <c r="H131" i="39"/>
  <c r="I131" i="39"/>
  <c r="B138" i="23"/>
  <c r="F138" i="23"/>
  <c r="H142" i="10"/>
  <c r="I142" i="10"/>
  <c r="I134" i="29"/>
  <c r="H134" i="29"/>
  <c r="B131" i="40"/>
  <c r="F131" i="40"/>
  <c r="B140" i="5"/>
  <c r="F140" i="5"/>
  <c r="B132" i="37"/>
  <c r="F132" i="37"/>
  <c r="B140" i="3"/>
  <c r="F140" i="3"/>
  <c r="H135" i="27"/>
  <c r="I135" i="27"/>
  <c r="B141" i="6"/>
  <c r="F141" i="6"/>
  <c r="H140" i="8"/>
  <c r="I140" i="8"/>
  <c r="F137" i="24"/>
  <c r="B137" i="24"/>
  <c r="H142" i="7"/>
  <c r="I142" i="7"/>
  <c r="E142" i="45" l="1"/>
  <c r="F142" i="45" s="1"/>
  <c r="H141" i="45"/>
  <c r="I141" i="45"/>
  <c r="D141" i="44"/>
  <c r="G140" i="44"/>
  <c r="G136" i="38"/>
  <c r="D137" i="38"/>
  <c r="E136" i="42"/>
  <c r="F136" i="42" s="1"/>
  <c r="B136" i="42"/>
  <c r="G136" i="41"/>
  <c r="D137" i="41"/>
  <c r="B137" i="41" s="1"/>
  <c r="I135" i="42"/>
  <c r="H135" i="42"/>
  <c r="J140" i="6"/>
  <c r="J130" i="40"/>
  <c r="J155" i="40" s="1"/>
  <c r="J133" i="30"/>
  <c r="G141" i="6"/>
  <c r="D142" i="6"/>
  <c r="E142" i="6"/>
  <c r="G141" i="8"/>
  <c r="D142" i="8"/>
  <c r="E142" i="8" s="1"/>
  <c r="J134" i="29"/>
  <c r="J142" i="7"/>
  <c r="J140" i="8"/>
  <c r="J135" i="27"/>
  <c r="G132" i="37"/>
  <c r="D133" i="37"/>
  <c r="E133" i="37" s="1"/>
  <c r="G131" i="40"/>
  <c r="D132" i="40"/>
  <c r="E132" i="40" s="1"/>
  <c r="J142" i="10"/>
  <c r="G139" i="22"/>
  <c r="D140" i="22"/>
  <c r="E140" i="22" s="1"/>
  <c r="G132" i="39"/>
  <c r="D133" i="39"/>
  <c r="E133" i="39"/>
  <c r="G135" i="28"/>
  <c r="D136" i="28"/>
  <c r="E136" i="28"/>
  <c r="J134" i="31"/>
  <c r="G136" i="27"/>
  <c r="D137" i="27"/>
  <c r="E137" i="27"/>
  <c r="G135" i="29"/>
  <c r="D136" i="29"/>
  <c r="E136" i="29" s="1"/>
  <c r="J139" i="4"/>
  <c r="G139" i="25"/>
  <c r="D140" i="25"/>
  <c r="E140" i="25" s="1"/>
  <c r="J134" i="28"/>
  <c r="G140" i="4"/>
  <c r="D141" i="4"/>
  <c r="E141" i="4" s="1"/>
  <c r="J139" i="3"/>
  <c r="J139" i="5"/>
  <c r="G142" i="11"/>
  <c r="D143" i="11"/>
  <c r="E143" i="11" s="1"/>
  <c r="G140" i="3"/>
  <c r="D141" i="3"/>
  <c r="E141" i="3" s="1"/>
  <c r="G138" i="23"/>
  <c r="D139" i="23"/>
  <c r="E139" i="23" s="1"/>
  <c r="G143" i="7"/>
  <c r="D144" i="7"/>
  <c r="E144" i="7" s="1"/>
  <c r="D136" i="31"/>
  <c r="E136" i="31" s="1"/>
  <c r="G135" i="31"/>
  <c r="G132" i="43"/>
  <c r="D133" i="43"/>
  <c r="E133" i="43" s="1"/>
  <c r="G143" i="10"/>
  <c r="D144" i="10"/>
  <c r="E144" i="10" s="1"/>
  <c r="G142" i="9"/>
  <c r="D143" i="9"/>
  <c r="E143" i="9" s="1"/>
  <c r="G140" i="5"/>
  <c r="D141" i="5"/>
  <c r="E141" i="5" s="1"/>
  <c r="G134" i="30"/>
  <c r="D135" i="30"/>
  <c r="E135" i="30" s="1"/>
  <c r="G137" i="24"/>
  <c r="D138" i="24"/>
  <c r="E138" i="24" s="1"/>
  <c r="D143" i="45" l="1"/>
  <c r="B143" i="45" s="1"/>
  <c r="G142" i="45"/>
  <c r="I140" i="44"/>
  <c r="H140" i="44"/>
  <c r="E141" i="44"/>
  <c r="F141" i="44" s="1"/>
  <c r="B141" i="44"/>
  <c r="E137" i="41"/>
  <c r="F137" i="41" s="1"/>
  <c r="D138" i="41" s="1"/>
  <c r="D137" i="42"/>
  <c r="G136" i="42"/>
  <c r="H136" i="41"/>
  <c r="I136" i="41"/>
  <c r="E137" i="38"/>
  <c r="F137" i="38" s="1"/>
  <c r="B137" i="38"/>
  <c r="I136" i="38"/>
  <c r="H136" i="38"/>
  <c r="B141" i="3"/>
  <c r="F141" i="3"/>
  <c r="B141" i="4"/>
  <c r="F141" i="4"/>
  <c r="B140" i="25"/>
  <c r="F140" i="25"/>
  <c r="B136" i="29"/>
  <c r="F136" i="29"/>
  <c r="I136" i="27"/>
  <c r="H136" i="27"/>
  <c r="I135" i="28"/>
  <c r="H135" i="28"/>
  <c r="B133" i="37"/>
  <c r="F133" i="37"/>
  <c r="H141" i="8"/>
  <c r="I141" i="8"/>
  <c r="B135" i="30"/>
  <c r="F135" i="30"/>
  <c r="B136" i="31"/>
  <c r="F136" i="31"/>
  <c r="B138" i="24"/>
  <c r="F138" i="24"/>
  <c r="H134" i="30"/>
  <c r="I134" i="30"/>
  <c r="B144" i="10"/>
  <c r="F144" i="10"/>
  <c r="H132" i="43"/>
  <c r="I132" i="43"/>
  <c r="B139" i="23"/>
  <c r="F139" i="23"/>
  <c r="I140" i="3"/>
  <c r="H140" i="3"/>
  <c r="I140" i="4"/>
  <c r="H140" i="4"/>
  <c r="H139" i="25"/>
  <c r="I139" i="25"/>
  <c r="H135" i="29"/>
  <c r="I135" i="29"/>
  <c r="B140" i="22"/>
  <c r="F140" i="22"/>
  <c r="B132" i="40"/>
  <c r="F132" i="40"/>
  <c r="I132" i="37"/>
  <c r="H132" i="37"/>
  <c r="B141" i="5"/>
  <c r="F141" i="5"/>
  <c r="H140" i="5"/>
  <c r="I140" i="5"/>
  <c r="B133" i="43"/>
  <c r="F133" i="43"/>
  <c r="H142" i="11"/>
  <c r="I142" i="11"/>
  <c r="H137" i="24"/>
  <c r="I137" i="24"/>
  <c r="B143" i="9"/>
  <c r="F143" i="9"/>
  <c r="H143" i="10"/>
  <c r="I143" i="10"/>
  <c r="B144" i="7"/>
  <c r="F144" i="7"/>
  <c r="I138" i="23"/>
  <c r="H138" i="23"/>
  <c r="F133" i="39"/>
  <c r="B133" i="39"/>
  <c r="H139" i="22"/>
  <c r="I139" i="22"/>
  <c r="I131" i="40"/>
  <c r="H131" i="40"/>
  <c r="B142" i="6"/>
  <c r="F142" i="6"/>
  <c r="I142" i="9"/>
  <c r="H142" i="9"/>
  <c r="H135" i="31"/>
  <c r="I135" i="31"/>
  <c r="H143" i="7"/>
  <c r="I143" i="7"/>
  <c r="B143" i="11"/>
  <c r="F143" i="11"/>
  <c r="B137" i="27"/>
  <c r="F137" i="27"/>
  <c r="B136" i="28"/>
  <c r="F136" i="28"/>
  <c r="I132" i="39"/>
  <c r="H132" i="39"/>
  <c r="B142" i="8"/>
  <c r="F142" i="8"/>
  <c r="H141" i="6"/>
  <c r="I141" i="6"/>
  <c r="G137" i="41" l="1"/>
  <c r="E143" i="45"/>
  <c r="F143" i="45" s="1"/>
  <c r="D144" i="45"/>
  <c r="B144" i="45" s="1"/>
  <c r="G143" i="45"/>
  <c r="H142" i="45"/>
  <c r="I142" i="45"/>
  <c r="D142" i="44"/>
  <c r="G141" i="44"/>
  <c r="D138" i="38"/>
  <c r="G137" i="38"/>
  <c r="H137" i="41"/>
  <c r="I137" i="41"/>
  <c r="H136" i="42"/>
  <c r="I136" i="42"/>
  <c r="E138" i="41"/>
  <c r="F138" i="41" s="1"/>
  <c r="B138" i="41"/>
  <c r="E137" i="42"/>
  <c r="F137" i="42" s="1"/>
  <c r="B137" i="42"/>
  <c r="J140" i="3"/>
  <c r="J135" i="28"/>
  <c r="J140" i="4"/>
  <c r="J141" i="6"/>
  <c r="G137" i="27"/>
  <c r="D138" i="27"/>
  <c r="E138" i="27"/>
  <c r="J143" i="7"/>
  <c r="G144" i="7"/>
  <c r="D145" i="7"/>
  <c r="E145" i="7" s="1"/>
  <c r="G143" i="9"/>
  <c r="D144" i="9"/>
  <c r="E144" i="9" s="1"/>
  <c r="J140" i="5"/>
  <c r="G140" i="22"/>
  <c r="D141" i="22"/>
  <c r="E141" i="22" s="1"/>
  <c r="J134" i="30"/>
  <c r="G136" i="31"/>
  <c r="D137" i="31"/>
  <c r="E137" i="31" s="1"/>
  <c r="J141" i="8"/>
  <c r="G136" i="29"/>
  <c r="D137" i="29"/>
  <c r="E137" i="29" s="1"/>
  <c r="G141" i="4"/>
  <c r="D142" i="4"/>
  <c r="E142" i="4" s="1"/>
  <c r="D134" i="39"/>
  <c r="G133" i="39"/>
  <c r="E134" i="39"/>
  <c r="G142" i="8"/>
  <c r="D143" i="8"/>
  <c r="E143" i="8" s="1"/>
  <c r="D137" i="28"/>
  <c r="E137" i="28" s="1"/>
  <c r="G136" i="28"/>
  <c r="G143" i="11"/>
  <c r="D144" i="11"/>
  <c r="E144" i="11" s="1"/>
  <c r="J135" i="31"/>
  <c r="G142" i="6"/>
  <c r="D143" i="6"/>
  <c r="E143" i="6" s="1"/>
  <c r="J143" i="10"/>
  <c r="G133" i="43"/>
  <c r="D134" i="43"/>
  <c r="E134" i="43" s="1"/>
  <c r="G141" i="5"/>
  <c r="D142" i="5"/>
  <c r="E142" i="5" s="1"/>
  <c r="G132" i="40"/>
  <c r="D133" i="40"/>
  <c r="E133" i="40" s="1"/>
  <c r="J135" i="29"/>
  <c r="G139" i="23"/>
  <c r="D140" i="23"/>
  <c r="E140" i="23" s="1"/>
  <c r="G144" i="10"/>
  <c r="D145" i="10"/>
  <c r="E145" i="10" s="1"/>
  <c r="G138" i="24"/>
  <c r="D139" i="24"/>
  <c r="E139" i="24" s="1"/>
  <c r="G135" i="30"/>
  <c r="D136" i="30"/>
  <c r="E136" i="30" s="1"/>
  <c r="G133" i="37"/>
  <c r="D134" i="37"/>
  <c r="E134" i="37"/>
  <c r="G140" i="25"/>
  <c r="D141" i="25"/>
  <c r="E141" i="25" s="1"/>
  <c r="G141" i="3"/>
  <c r="D142" i="3"/>
  <c r="E142" i="3" s="1"/>
  <c r="J136" i="27"/>
  <c r="E144" i="45" l="1"/>
  <c r="F144" i="45" s="1"/>
  <c r="G144" i="45"/>
  <c r="D145" i="45"/>
  <c r="B145" i="45" s="1"/>
  <c r="I143" i="45"/>
  <c r="H143" i="45"/>
  <c r="E142" i="44"/>
  <c r="F142" i="44" s="1"/>
  <c r="B142" i="44"/>
  <c r="I141" i="44"/>
  <c r="H141" i="44"/>
  <c r="G138" i="41"/>
  <c r="D139" i="41"/>
  <c r="G137" i="42"/>
  <c r="D138" i="42"/>
  <c r="H137" i="38"/>
  <c r="I137" i="38"/>
  <c r="E138" i="38"/>
  <c r="F138" i="38" s="1"/>
  <c r="B138" i="38"/>
  <c r="B142" i="3"/>
  <c r="F142" i="3"/>
  <c r="I140" i="25"/>
  <c r="H140" i="25"/>
  <c r="I141" i="3"/>
  <c r="H141" i="3"/>
  <c r="B136" i="30"/>
  <c r="F136" i="30"/>
  <c r="H138" i="24"/>
  <c r="I138" i="24"/>
  <c r="B142" i="5"/>
  <c r="F142" i="5"/>
  <c r="H133" i="43"/>
  <c r="I133" i="43"/>
  <c r="H142" i="6"/>
  <c r="I142" i="6"/>
  <c r="I143" i="11"/>
  <c r="H143" i="11"/>
  <c r="H133" i="39"/>
  <c r="I133" i="39"/>
  <c r="I141" i="4"/>
  <c r="H141" i="4"/>
  <c r="H135" i="30"/>
  <c r="I135" i="30"/>
  <c r="B140" i="23"/>
  <c r="F140" i="23"/>
  <c r="B133" i="40"/>
  <c r="F133" i="40"/>
  <c r="H141" i="5"/>
  <c r="I141" i="5"/>
  <c r="B143" i="8"/>
  <c r="F143" i="8"/>
  <c r="B134" i="39"/>
  <c r="F134" i="39"/>
  <c r="B145" i="7"/>
  <c r="F145" i="7"/>
  <c r="B138" i="27"/>
  <c r="F138" i="27"/>
  <c r="B141" i="25"/>
  <c r="F141" i="25"/>
  <c r="B145" i="10"/>
  <c r="F145" i="10"/>
  <c r="I139" i="23"/>
  <c r="H139" i="23"/>
  <c r="H132" i="40"/>
  <c r="I132" i="40"/>
  <c r="H136" i="28"/>
  <c r="I136" i="28"/>
  <c r="H142" i="8"/>
  <c r="I142" i="8"/>
  <c r="B137" i="29"/>
  <c r="F137" i="29"/>
  <c r="B137" i="31"/>
  <c r="F137" i="31"/>
  <c r="B141" i="22"/>
  <c r="F141" i="22"/>
  <c r="B144" i="9"/>
  <c r="F144" i="9"/>
  <c r="I144" i="7"/>
  <c r="H144" i="7"/>
  <c r="I137" i="27"/>
  <c r="H137" i="27"/>
  <c r="B134" i="37"/>
  <c r="F134" i="37"/>
  <c r="I133" i="37"/>
  <c r="H133" i="37"/>
  <c r="B139" i="24"/>
  <c r="F139" i="24"/>
  <c r="I144" i="10"/>
  <c r="H144" i="10"/>
  <c r="B134" i="43"/>
  <c r="F134" i="43"/>
  <c r="B143" i="6"/>
  <c r="F143" i="6"/>
  <c r="B144" i="11"/>
  <c r="F144" i="11"/>
  <c r="B137" i="28"/>
  <c r="F137" i="28"/>
  <c r="B142" i="4"/>
  <c r="F142" i="4"/>
  <c r="H136" i="29"/>
  <c r="I136" i="29"/>
  <c r="I136" i="31"/>
  <c r="H136" i="31"/>
  <c r="H140" i="22"/>
  <c r="I140" i="22"/>
  <c r="H143" i="9"/>
  <c r="I143" i="9"/>
  <c r="E145" i="45" l="1"/>
  <c r="F145" i="45" s="1"/>
  <c r="I144" i="45"/>
  <c r="H144" i="45"/>
  <c r="D143" i="44"/>
  <c r="B143" i="44" s="1"/>
  <c r="G142" i="44"/>
  <c r="D139" i="38"/>
  <c r="G138" i="38"/>
  <c r="E139" i="41"/>
  <c r="F139" i="41" s="1"/>
  <c r="B139" i="41"/>
  <c r="E138" i="42"/>
  <c r="F138" i="42" s="1"/>
  <c r="B138" i="42"/>
  <c r="I137" i="42"/>
  <c r="H137" i="42"/>
  <c r="H138" i="41"/>
  <c r="I138" i="41"/>
  <c r="J136" i="31"/>
  <c r="J144" i="7"/>
  <c r="J141" i="5"/>
  <c r="J136" i="29"/>
  <c r="J142" i="8"/>
  <c r="J137" i="27"/>
  <c r="G142" i="4"/>
  <c r="D143" i="4"/>
  <c r="E143" i="4" s="1"/>
  <c r="G144" i="11"/>
  <c r="D145" i="11"/>
  <c r="E145" i="11" s="1"/>
  <c r="G134" i="43"/>
  <c r="D135" i="43"/>
  <c r="E135" i="43" s="1"/>
  <c r="G139" i="24"/>
  <c r="D140" i="24"/>
  <c r="E140" i="24" s="1"/>
  <c r="G134" i="37"/>
  <c r="D135" i="37"/>
  <c r="E135" i="37" s="1"/>
  <c r="G141" i="22"/>
  <c r="D142" i="22"/>
  <c r="E142" i="22" s="1"/>
  <c r="G137" i="29"/>
  <c r="D138" i="29"/>
  <c r="E138" i="29" s="1"/>
  <c r="J136" i="28"/>
  <c r="G141" i="25"/>
  <c r="D142" i="25"/>
  <c r="E142" i="25" s="1"/>
  <c r="G145" i="7"/>
  <c r="D146" i="7"/>
  <c r="E146" i="7" s="1"/>
  <c r="G143" i="8"/>
  <c r="D144" i="8"/>
  <c r="E144" i="8" s="1"/>
  <c r="G133" i="40"/>
  <c r="D134" i="40"/>
  <c r="E134" i="40"/>
  <c r="J135" i="30"/>
  <c r="J142" i="6"/>
  <c r="G142" i="5"/>
  <c r="D143" i="5"/>
  <c r="E143" i="5" s="1"/>
  <c r="G136" i="30"/>
  <c r="D137" i="30"/>
  <c r="E137" i="30" s="1"/>
  <c r="D138" i="28"/>
  <c r="E138" i="28" s="1"/>
  <c r="G137" i="28"/>
  <c r="G143" i="6"/>
  <c r="D144" i="6"/>
  <c r="E144" i="6" s="1"/>
  <c r="G144" i="9"/>
  <c r="D145" i="9"/>
  <c r="E145" i="9" s="1"/>
  <c r="G137" i="31"/>
  <c r="D138" i="31"/>
  <c r="E138" i="31" s="1"/>
  <c r="G145" i="10"/>
  <c r="D146" i="10"/>
  <c r="E146" i="10" s="1"/>
  <c r="G138" i="27"/>
  <c r="D139" i="27"/>
  <c r="E139" i="27" s="1"/>
  <c r="G134" i="39"/>
  <c r="D135" i="39"/>
  <c r="E135" i="39"/>
  <c r="G140" i="23"/>
  <c r="D141" i="23"/>
  <c r="E141" i="23" s="1"/>
  <c r="G142" i="3"/>
  <c r="D143" i="3"/>
  <c r="E143" i="3" s="1"/>
  <c r="J144" i="10"/>
  <c r="J141" i="4"/>
  <c r="J141" i="3"/>
  <c r="D146" i="45" l="1"/>
  <c r="B146" i="45" s="1"/>
  <c r="G145" i="45"/>
  <c r="E143" i="44"/>
  <c r="F143" i="44" s="1"/>
  <c r="I142" i="44"/>
  <c r="H142" i="44"/>
  <c r="I138" i="38"/>
  <c r="H138" i="38"/>
  <c r="G139" i="41"/>
  <c r="D140" i="41"/>
  <c r="B140" i="41" s="1"/>
  <c r="G138" i="42"/>
  <c r="D139" i="42"/>
  <c r="B139" i="42" s="1"/>
  <c r="E139" i="42"/>
  <c r="E139" i="38"/>
  <c r="F139" i="38" s="1"/>
  <c r="B139" i="38"/>
  <c r="H134" i="39"/>
  <c r="I134" i="39"/>
  <c r="B143" i="3"/>
  <c r="F143" i="3"/>
  <c r="H140" i="23"/>
  <c r="I140" i="23"/>
  <c r="B146" i="10"/>
  <c r="F146" i="10"/>
  <c r="H137" i="31"/>
  <c r="I137" i="31"/>
  <c r="H137" i="28"/>
  <c r="I137" i="28"/>
  <c r="H136" i="30"/>
  <c r="I136" i="30"/>
  <c r="I133" i="40"/>
  <c r="H133" i="40"/>
  <c r="B142" i="25"/>
  <c r="F142" i="25"/>
  <c r="B138" i="29"/>
  <c r="F138" i="29"/>
  <c r="H141" i="22"/>
  <c r="I141" i="22"/>
  <c r="B135" i="43"/>
  <c r="F135" i="43"/>
  <c r="H144" i="11"/>
  <c r="I144" i="11"/>
  <c r="H142" i="3"/>
  <c r="I142" i="3"/>
  <c r="B139" i="27"/>
  <c r="F139" i="27"/>
  <c r="H145" i="10"/>
  <c r="I145" i="10"/>
  <c r="B144" i="6"/>
  <c r="F144" i="6"/>
  <c r="B138" i="28"/>
  <c r="F138" i="28"/>
  <c r="B146" i="7"/>
  <c r="F146" i="7"/>
  <c r="I141" i="25"/>
  <c r="H141" i="25"/>
  <c r="H137" i="29"/>
  <c r="I137" i="29"/>
  <c r="B140" i="24"/>
  <c r="F140" i="24"/>
  <c r="H134" i="43"/>
  <c r="I134" i="43"/>
  <c r="B135" i="39"/>
  <c r="F135" i="39"/>
  <c r="I138" i="27"/>
  <c r="H138" i="27"/>
  <c r="B145" i="9"/>
  <c r="F145" i="9"/>
  <c r="I143" i="6"/>
  <c r="H143" i="6"/>
  <c r="B143" i="5"/>
  <c r="F143" i="5"/>
  <c r="B144" i="8"/>
  <c r="F144" i="8"/>
  <c r="I145" i="7"/>
  <c r="H145" i="7"/>
  <c r="B135" i="37"/>
  <c r="F135" i="37"/>
  <c r="H139" i="24"/>
  <c r="I139" i="24"/>
  <c r="B143" i="4"/>
  <c r="F143" i="4"/>
  <c r="B141" i="23"/>
  <c r="F141" i="23"/>
  <c r="B138" i="31"/>
  <c r="F138" i="31"/>
  <c r="I144" i="9"/>
  <c r="H144" i="9"/>
  <c r="B137" i="30"/>
  <c r="F137" i="30"/>
  <c r="I142" i="5"/>
  <c r="H142" i="5"/>
  <c r="B134" i="40"/>
  <c r="F134" i="40"/>
  <c r="H143" i="8"/>
  <c r="I143" i="8"/>
  <c r="B142" i="22"/>
  <c r="F142" i="22"/>
  <c r="H134" i="37"/>
  <c r="I134" i="37"/>
  <c r="B145" i="11"/>
  <c r="F145" i="11"/>
  <c r="H142" i="4"/>
  <c r="I142" i="4"/>
  <c r="E146" i="45" l="1"/>
  <c r="F146" i="45" s="1"/>
  <c r="D147" i="45" s="1"/>
  <c r="I145" i="45"/>
  <c r="H145" i="45"/>
  <c r="G143" i="44"/>
  <c r="D144" i="44"/>
  <c r="F139" i="42"/>
  <c r="G139" i="42" s="1"/>
  <c r="E140" i="41"/>
  <c r="F140" i="41" s="1"/>
  <c r="I139" i="41"/>
  <c r="H139" i="41"/>
  <c r="G139" i="38"/>
  <c r="D140" i="38"/>
  <c r="B140" i="38" s="1"/>
  <c r="H138" i="42"/>
  <c r="I138" i="42"/>
  <c r="J137" i="31"/>
  <c r="J142" i="5"/>
  <c r="J145" i="7"/>
  <c r="J136" i="30"/>
  <c r="J137" i="29"/>
  <c r="J142" i="4"/>
  <c r="J143" i="8"/>
  <c r="G141" i="23"/>
  <c r="D142" i="23"/>
  <c r="E142" i="23" s="1"/>
  <c r="G143" i="5"/>
  <c r="D144" i="5"/>
  <c r="E144" i="5" s="1"/>
  <c r="D146" i="9"/>
  <c r="E146" i="9" s="1"/>
  <c r="G145" i="9"/>
  <c r="G135" i="39"/>
  <c r="D136" i="39"/>
  <c r="E136" i="39" s="1"/>
  <c r="G140" i="24"/>
  <c r="D141" i="24"/>
  <c r="E141" i="24"/>
  <c r="G138" i="28"/>
  <c r="D139" i="28"/>
  <c r="E139" i="28"/>
  <c r="J145" i="10"/>
  <c r="J142" i="3"/>
  <c r="G135" i="43"/>
  <c r="D136" i="43"/>
  <c r="E136" i="43"/>
  <c r="G138" i="29"/>
  <c r="D139" i="29"/>
  <c r="E139" i="29" s="1"/>
  <c r="J137" i="28"/>
  <c r="D147" i="10"/>
  <c r="E147" i="10" s="1"/>
  <c r="G146" i="10"/>
  <c r="G143" i="3"/>
  <c r="D144" i="3"/>
  <c r="E144" i="3" s="1"/>
  <c r="G145" i="11"/>
  <c r="D146" i="11"/>
  <c r="E146" i="11" s="1"/>
  <c r="G142" i="22"/>
  <c r="D143" i="22"/>
  <c r="E143" i="22" s="1"/>
  <c r="G134" i="40"/>
  <c r="D135" i="40"/>
  <c r="E135" i="40" s="1"/>
  <c r="G137" i="30"/>
  <c r="D138" i="30"/>
  <c r="E138" i="30" s="1"/>
  <c r="G138" i="31"/>
  <c r="D139" i="31"/>
  <c r="E139" i="31" s="1"/>
  <c r="G143" i="4"/>
  <c r="D144" i="4"/>
  <c r="E144" i="4" s="1"/>
  <c r="G135" i="37"/>
  <c r="D136" i="37"/>
  <c r="E136" i="37" s="1"/>
  <c r="D145" i="8"/>
  <c r="E145" i="8" s="1"/>
  <c r="G144" i="8"/>
  <c r="G146" i="7"/>
  <c r="D147" i="7"/>
  <c r="E147" i="7" s="1"/>
  <c r="G144" i="6"/>
  <c r="D145" i="6"/>
  <c r="E145" i="6" s="1"/>
  <c r="G139" i="27"/>
  <c r="D140" i="27"/>
  <c r="E140" i="27"/>
  <c r="G142" i="25"/>
  <c r="D143" i="25"/>
  <c r="E143" i="25" s="1"/>
  <c r="J143" i="6"/>
  <c r="J138" i="27"/>
  <c r="B147" i="45" l="1"/>
  <c r="E147" i="45"/>
  <c r="F147" i="45" s="1"/>
  <c r="D148" i="45" s="1"/>
  <c r="G146" i="45"/>
  <c r="I146" i="45" s="1"/>
  <c r="D140" i="42"/>
  <c r="B140" i="42" s="1"/>
  <c r="E144" i="44"/>
  <c r="F144" i="44" s="1"/>
  <c r="B144" i="44"/>
  <c r="I143" i="44"/>
  <c r="H143" i="44"/>
  <c r="E140" i="38"/>
  <c r="F140" i="38" s="1"/>
  <c r="D141" i="38" s="1"/>
  <c r="B141" i="38" s="1"/>
  <c r="G140" i="41"/>
  <c r="D141" i="41"/>
  <c r="H139" i="42"/>
  <c r="I139" i="42"/>
  <c r="H139" i="38"/>
  <c r="I139" i="38"/>
  <c r="I142" i="25"/>
  <c r="H142" i="25"/>
  <c r="B145" i="8"/>
  <c r="F145" i="8"/>
  <c r="B145" i="6"/>
  <c r="F145" i="6"/>
  <c r="H146" i="7"/>
  <c r="I146" i="7"/>
  <c r="B144" i="4"/>
  <c r="F144" i="4"/>
  <c r="H138" i="31"/>
  <c r="I138" i="31"/>
  <c r="B143" i="22"/>
  <c r="F143" i="22"/>
  <c r="H145" i="11"/>
  <c r="I145" i="11"/>
  <c r="B136" i="43"/>
  <c r="F136" i="43"/>
  <c r="F141" i="24"/>
  <c r="B141" i="24"/>
  <c r="H135" i="39"/>
  <c r="I135" i="39"/>
  <c r="B142" i="23"/>
  <c r="F142" i="23"/>
  <c r="B136" i="37"/>
  <c r="F136" i="37"/>
  <c r="B135" i="40"/>
  <c r="F135" i="40"/>
  <c r="I142" i="22"/>
  <c r="H142" i="22"/>
  <c r="H146" i="10"/>
  <c r="I146" i="10"/>
  <c r="B139" i="29"/>
  <c r="F139" i="29"/>
  <c r="I135" i="43"/>
  <c r="H135" i="43"/>
  <c r="B139" i="28"/>
  <c r="F139" i="28"/>
  <c r="I140" i="24"/>
  <c r="H140" i="24"/>
  <c r="B144" i="5"/>
  <c r="F144" i="5"/>
  <c r="H141" i="23"/>
  <c r="I141" i="23"/>
  <c r="B140" i="27"/>
  <c r="F140" i="27"/>
  <c r="H144" i="6"/>
  <c r="I144" i="6"/>
  <c r="H143" i="4"/>
  <c r="I143" i="4"/>
  <c r="B143" i="25"/>
  <c r="F143" i="25"/>
  <c r="H139" i="27"/>
  <c r="I139" i="27"/>
  <c r="H144" i="8"/>
  <c r="I144" i="8"/>
  <c r="H135" i="37"/>
  <c r="I135" i="37"/>
  <c r="B138" i="30"/>
  <c r="F138" i="30"/>
  <c r="H134" i="40"/>
  <c r="I134" i="40"/>
  <c r="B144" i="3"/>
  <c r="F144" i="3"/>
  <c r="B147" i="10"/>
  <c r="F147" i="10"/>
  <c r="H138" i="29"/>
  <c r="I138" i="29"/>
  <c r="I138" i="28"/>
  <c r="H138" i="28"/>
  <c r="H145" i="9"/>
  <c r="I145" i="9"/>
  <c r="H143" i="5"/>
  <c r="I143" i="5"/>
  <c r="B147" i="7"/>
  <c r="F147" i="7"/>
  <c r="B139" i="31"/>
  <c r="F139" i="31"/>
  <c r="H137" i="30"/>
  <c r="I137" i="30"/>
  <c r="B146" i="11"/>
  <c r="F146" i="11"/>
  <c r="H143" i="3"/>
  <c r="I143" i="3"/>
  <c r="B136" i="39"/>
  <c r="F136" i="39"/>
  <c r="B146" i="9"/>
  <c r="F146" i="9"/>
  <c r="E140" i="42" l="1"/>
  <c r="F140" i="42" s="1"/>
  <c r="H146" i="45"/>
  <c r="G147" i="45"/>
  <c r="H147" i="45" s="1"/>
  <c r="B148" i="45"/>
  <c r="E148" i="45"/>
  <c r="F148" i="45" s="1"/>
  <c r="G144" i="44"/>
  <c r="D145" i="44"/>
  <c r="E141" i="38"/>
  <c r="F141" i="38" s="1"/>
  <c r="G141" i="38" s="1"/>
  <c r="G140" i="38"/>
  <c r="H140" i="38" s="1"/>
  <c r="E141" i="41"/>
  <c r="F141" i="41" s="1"/>
  <c r="B141" i="41"/>
  <c r="H140" i="41"/>
  <c r="I140" i="41"/>
  <c r="J138" i="28"/>
  <c r="G146" i="9"/>
  <c r="D147" i="9"/>
  <c r="E147" i="9" s="1"/>
  <c r="J143" i="3"/>
  <c r="J137" i="30"/>
  <c r="G147" i="7"/>
  <c r="D148" i="7"/>
  <c r="E148" i="7" s="1"/>
  <c r="J138" i="29"/>
  <c r="G144" i="3"/>
  <c r="D145" i="3"/>
  <c r="E145" i="3" s="1"/>
  <c r="G138" i="30"/>
  <c r="D139" i="30"/>
  <c r="E139" i="30"/>
  <c r="J144" i="8"/>
  <c r="G143" i="25"/>
  <c r="D144" i="25"/>
  <c r="E144" i="25" s="1"/>
  <c r="J144" i="6"/>
  <c r="J146" i="10"/>
  <c r="G135" i="40"/>
  <c r="D136" i="40"/>
  <c r="E136" i="40" s="1"/>
  <c r="G142" i="23"/>
  <c r="D143" i="23"/>
  <c r="E143" i="23" s="1"/>
  <c r="J138" i="31"/>
  <c r="J146" i="7"/>
  <c r="G145" i="8"/>
  <c r="D146" i="8"/>
  <c r="E146" i="8" s="1"/>
  <c r="G141" i="24"/>
  <c r="D142" i="24"/>
  <c r="E142" i="24" s="1"/>
  <c r="G136" i="39"/>
  <c r="D137" i="39"/>
  <c r="E137" i="39" s="1"/>
  <c r="G146" i="11"/>
  <c r="D147" i="11"/>
  <c r="E147" i="11" s="1"/>
  <c r="G139" i="31"/>
  <c r="D140" i="31"/>
  <c r="E140" i="31" s="1"/>
  <c r="J143" i="5"/>
  <c r="G147" i="10"/>
  <c r="D148" i="10"/>
  <c r="E148" i="10" s="1"/>
  <c r="J139" i="27"/>
  <c r="J143" i="4"/>
  <c r="G140" i="27"/>
  <c r="D141" i="27"/>
  <c r="E141" i="27" s="1"/>
  <c r="G144" i="5"/>
  <c r="D145" i="5"/>
  <c r="E145" i="5" s="1"/>
  <c r="G139" i="28"/>
  <c r="D140" i="28"/>
  <c r="E140" i="28" s="1"/>
  <c r="D140" i="29"/>
  <c r="E140" i="29" s="1"/>
  <c r="G139" i="29"/>
  <c r="G136" i="37"/>
  <c r="D137" i="37"/>
  <c r="E137" i="37" s="1"/>
  <c r="G136" i="43"/>
  <c r="D137" i="43"/>
  <c r="E137" i="43" s="1"/>
  <c r="G143" i="22"/>
  <c r="D144" i="22"/>
  <c r="E144" i="22" s="1"/>
  <c r="G144" i="4"/>
  <c r="D145" i="4"/>
  <c r="E145" i="4" s="1"/>
  <c r="G145" i="6"/>
  <c r="D146" i="6"/>
  <c r="E146" i="6" s="1"/>
  <c r="D141" i="42" l="1"/>
  <c r="G140" i="42"/>
  <c r="I147" i="45"/>
  <c r="I140" i="38"/>
  <c r="G148" i="45"/>
  <c r="I148" i="45" s="1"/>
  <c r="D149" i="45"/>
  <c r="B149" i="45" s="1"/>
  <c r="E145" i="44"/>
  <c r="F145" i="44" s="1"/>
  <c r="B145" i="44"/>
  <c r="H144" i="44"/>
  <c r="I144" i="44"/>
  <c r="D142" i="38"/>
  <c r="B142" i="38" s="1"/>
  <c r="G141" i="41"/>
  <c r="D142" i="41"/>
  <c r="B142" i="41" s="1"/>
  <c r="I141" i="38"/>
  <c r="H141" i="38"/>
  <c r="I140" i="42"/>
  <c r="H140" i="42"/>
  <c r="E141" i="42"/>
  <c r="F141" i="42" s="1"/>
  <c r="B141" i="42"/>
  <c r="B146" i="6"/>
  <c r="F146" i="6"/>
  <c r="H144" i="4"/>
  <c r="I144" i="4"/>
  <c r="B137" i="37"/>
  <c r="F137" i="37"/>
  <c r="B140" i="29"/>
  <c r="F140" i="29"/>
  <c r="B141" i="27"/>
  <c r="F141" i="27"/>
  <c r="B147" i="11"/>
  <c r="F147" i="11"/>
  <c r="H136" i="39"/>
  <c r="I136" i="39"/>
  <c r="B148" i="10"/>
  <c r="F148" i="10"/>
  <c r="B140" i="31"/>
  <c r="F140" i="31"/>
  <c r="I146" i="11"/>
  <c r="H146" i="11"/>
  <c r="B146" i="8"/>
  <c r="F146" i="8"/>
  <c r="B136" i="40"/>
  <c r="F136" i="40"/>
  <c r="B145" i="3"/>
  <c r="F145" i="3"/>
  <c r="B148" i="7"/>
  <c r="F148" i="7"/>
  <c r="B137" i="43"/>
  <c r="F137" i="43"/>
  <c r="H136" i="37"/>
  <c r="I136" i="37"/>
  <c r="H140" i="27"/>
  <c r="I140" i="27"/>
  <c r="B140" i="28"/>
  <c r="F140" i="28"/>
  <c r="H144" i="5"/>
  <c r="I144" i="5"/>
  <c r="H147" i="10"/>
  <c r="I147" i="10"/>
  <c r="H139" i="31"/>
  <c r="I139" i="31"/>
  <c r="B142" i="24"/>
  <c r="F142" i="24"/>
  <c r="H145" i="8"/>
  <c r="I145" i="8"/>
  <c r="B143" i="23"/>
  <c r="F143" i="23"/>
  <c r="H135" i="40"/>
  <c r="I135" i="40"/>
  <c r="B144" i="25"/>
  <c r="F144" i="25"/>
  <c r="B139" i="30"/>
  <c r="F139" i="30"/>
  <c r="H144" i="3"/>
  <c r="I144" i="3"/>
  <c r="H147" i="7"/>
  <c r="I147" i="7"/>
  <c r="B147" i="9"/>
  <c r="F147" i="9"/>
  <c r="H145" i="6"/>
  <c r="I145" i="6"/>
  <c r="B145" i="5"/>
  <c r="F145" i="5"/>
  <c r="B144" i="22"/>
  <c r="F144" i="22"/>
  <c r="I136" i="43"/>
  <c r="H136" i="43"/>
  <c r="B145" i="4"/>
  <c r="F145" i="4"/>
  <c r="I143" i="22"/>
  <c r="H143" i="22"/>
  <c r="H139" i="29"/>
  <c r="I139" i="29"/>
  <c r="H139" i="28"/>
  <c r="I139" i="28"/>
  <c r="B137" i="39"/>
  <c r="F137" i="39"/>
  <c r="H141" i="24"/>
  <c r="I141" i="24"/>
  <c r="I142" i="23"/>
  <c r="H142" i="23"/>
  <c r="H143" i="25"/>
  <c r="I143" i="25"/>
  <c r="I138" i="30"/>
  <c r="H138" i="30"/>
  <c r="I146" i="9"/>
  <c r="H146" i="9"/>
  <c r="H148" i="45" l="1"/>
  <c r="E149" i="45"/>
  <c r="F149" i="45" s="1"/>
  <c r="E142" i="38"/>
  <c r="F142" i="38"/>
  <c r="G142" i="38" s="1"/>
  <c r="D146" i="44"/>
  <c r="G145" i="44"/>
  <c r="E142" i="41"/>
  <c r="F142" i="41" s="1"/>
  <c r="G142" i="41" s="1"/>
  <c r="D142" i="42"/>
  <c r="G141" i="42"/>
  <c r="I141" i="41"/>
  <c r="H141" i="41"/>
  <c r="J144" i="4"/>
  <c r="J138" i="30"/>
  <c r="J139" i="28"/>
  <c r="D146" i="5"/>
  <c r="E146" i="5" s="1"/>
  <c r="G145" i="5"/>
  <c r="G147" i="9"/>
  <c r="D148" i="9"/>
  <c r="E148" i="9" s="1"/>
  <c r="J144" i="3"/>
  <c r="G144" i="25"/>
  <c r="D145" i="25"/>
  <c r="E145" i="25" s="1"/>
  <c r="G143" i="23"/>
  <c r="D144" i="23"/>
  <c r="E144" i="23" s="1"/>
  <c r="G142" i="24"/>
  <c r="D143" i="24"/>
  <c r="E143" i="24" s="1"/>
  <c r="J147" i="10"/>
  <c r="G140" i="28"/>
  <c r="D141" i="28"/>
  <c r="E141" i="28" s="1"/>
  <c r="G148" i="7"/>
  <c r="D149" i="7"/>
  <c r="E149" i="7" s="1"/>
  <c r="G136" i="40"/>
  <c r="D137" i="40"/>
  <c r="E137" i="40" s="1"/>
  <c r="G148" i="10"/>
  <c r="D149" i="10"/>
  <c r="E149" i="10" s="1"/>
  <c r="D148" i="11"/>
  <c r="E148" i="11" s="1"/>
  <c r="G147" i="11"/>
  <c r="G140" i="29"/>
  <c r="D141" i="29"/>
  <c r="E141" i="29" s="1"/>
  <c r="G137" i="39"/>
  <c r="D138" i="39"/>
  <c r="E138" i="39" s="1"/>
  <c r="J139" i="29"/>
  <c r="G145" i="4"/>
  <c r="D146" i="4"/>
  <c r="E146" i="4" s="1"/>
  <c r="G144" i="22"/>
  <c r="D145" i="22"/>
  <c r="E145" i="22" s="1"/>
  <c r="J145" i="6"/>
  <c r="J147" i="7"/>
  <c r="G139" i="30"/>
  <c r="D140" i="30"/>
  <c r="E140" i="30" s="1"/>
  <c r="J145" i="8"/>
  <c r="J139" i="31"/>
  <c r="J144" i="5"/>
  <c r="J140" i="27"/>
  <c r="G137" i="43"/>
  <c r="D138" i="43"/>
  <c r="E138" i="43" s="1"/>
  <c r="G145" i="3"/>
  <c r="D146" i="3"/>
  <c r="E146" i="3" s="1"/>
  <c r="G146" i="8"/>
  <c r="D147" i="8"/>
  <c r="E147" i="8" s="1"/>
  <c r="G140" i="31"/>
  <c r="D141" i="31"/>
  <c r="E141" i="31" s="1"/>
  <c r="G141" i="27"/>
  <c r="D142" i="27"/>
  <c r="E142" i="27" s="1"/>
  <c r="G137" i="37"/>
  <c r="D138" i="37"/>
  <c r="E138" i="37" s="1"/>
  <c r="G146" i="6"/>
  <c r="D147" i="6"/>
  <c r="E147" i="6" s="1"/>
  <c r="D143" i="38" l="1"/>
  <c r="G149" i="45"/>
  <c r="D150" i="45"/>
  <c r="I145" i="44"/>
  <c r="H145" i="44"/>
  <c r="E146" i="44"/>
  <c r="F146" i="44" s="1"/>
  <c r="B146" i="44"/>
  <c r="D143" i="41"/>
  <c r="B143" i="41" s="1"/>
  <c r="I141" i="42"/>
  <c r="H141" i="42"/>
  <c r="E142" i="42"/>
  <c r="F142" i="42" s="1"/>
  <c r="B142" i="42"/>
  <c r="H142" i="38"/>
  <c r="I142" i="38"/>
  <c r="H142" i="41"/>
  <c r="I142" i="41"/>
  <c r="E143" i="38"/>
  <c r="F143" i="38" s="1"/>
  <c r="B143" i="38"/>
  <c r="H146" i="6"/>
  <c r="I146" i="6"/>
  <c r="B146" i="4"/>
  <c r="F146" i="4"/>
  <c r="B138" i="43"/>
  <c r="F138" i="43"/>
  <c r="H139" i="30"/>
  <c r="I139" i="30"/>
  <c r="H145" i="4"/>
  <c r="I145" i="4"/>
  <c r="I137" i="39"/>
  <c r="H137" i="39"/>
  <c r="B138" i="37"/>
  <c r="F138" i="37"/>
  <c r="H141" i="27"/>
  <c r="I141" i="27"/>
  <c r="B146" i="3"/>
  <c r="F146" i="3"/>
  <c r="I137" i="43"/>
  <c r="H137" i="43"/>
  <c r="I144" i="22"/>
  <c r="H144" i="22"/>
  <c r="I147" i="11"/>
  <c r="H147" i="11"/>
  <c r="I148" i="10"/>
  <c r="H148" i="10"/>
  <c r="B141" i="28"/>
  <c r="F141" i="28"/>
  <c r="B143" i="24"/>
  <c r="F143" i="24"/>
  <c r="H143" i="23"/>
  <c r="I143" i="23"/>
  <c r="B141" i="31"/>
  <c r="F141" i="31"/>
  <c r="I146" i="8"/>
  <c r="H146" i="8"/>
  <c r="B142" i="27"/>
  <c r="F142" i="27"/>
  <c r="H140" i="31"/>
  <c r="I140" i="31"/>
  <c r="B147" i="6"/>
  <c r="F147" i="6"/>
  <c r="H137" i="37"/>
  <c r="I137" i="37"/>
  <c r="B147" i="8"/>
  <c r="F147" i="8"/>
  <c r="H145" i="3"/>
  <c r="I145" i="3"/>
  <c r="B141" i="29"/>
  <c r="F141" i="29"/>
  <c r="B148" i="11"/>
  <c r="F148" i="11"/>
  <c r="B149" i="7"/>
  <c r="F149" i="7"/>
  <c r="H140" i="28"/>
  <c r="I140" i="28"/>
  <c r="I142" i="24"/>
  <c r="H142" i="24"/>
  <c r="H145" i="5"/>
  <c r="I145" i="5"/>
  <c r="B140" i="30"/>
  <c r="F140" i="30"/>
  <c r="B138" i="39"/>
  <c r="F138" i="39"/>
  <c r="H140" i="29"/>
  <c r="I140" i="29"/>
  <c r="B137" i="40"/>
  <c r="F137" i="40"/>
  <c r="I148" i="7"/>
  <c r="H148" i="7"/>
  <c r="B145" i="25"/>
  <c r="F145" i="25"/>
  <c r="B148" i="9"/>
  <c r="F148" i="9"/>
  <c r="B146" i="5"/>
  <c r="F146" i="5"/>
  <c r="B145" i="22"/>
  <c r="F145" i="22"/>
  <c r="B149" i="10"/>
  <c r="F149" i="10"/>
  <c r="I136" i="40"/>
  <c r="H136" i="40"/>
  <c r="B144" i="23"/>
  <c r="F144" i="23"/>
  <c r="I144" i="25"/>
  <c r="H144" i="25"/>
  <c r="H147" i="9"/>
  <c r="I147" i="9"/>
  <c r="B150" i="45" l="1"/>
  <c r="E150" i="45"/>
  <c r="F150" i="45" s="1"/>
  <c r="H149" i="45"/>
  <c r="I149" i="45"/>
  <c r="E143" i="41"/>
  <c r="F143" i="41" s="1"/>
  <c r="D147" i="44"/>
  <c r="G146" i="44"/>
  <c r="G142" i="42"/>
  <c r="D143" i="42"/>
  <c r="B143" i="42" s="1"/>
  <c r="G143" i="38"/>
  <c r="D144" i="38"/>
  <c r="B144" i="38" s="1"/>
  <c r="D144" i="41"/>
  <c r="G143" i="41"/>
  <c r="J145" i="4"/>
  <c r="J146" i="6"/>
  <c r="J148" i="7"/>
  <c r="J146" i="8"/>
  <c r="G144" i="23"/>
  <c r="D145" i="23"/>
  <c r="E145" i="23" s="1"/>
  <c r="G149" i="10"/>
  <c r="D150" i="10"/>
  <c r="E150" i="10" s="1"/>
  <c r="G146" i="5"/>
  <c r="D147" i="5"/>
  <c r="E147" i="5" s="1"/>
  <c r="G145" i="25"/>
  <c r="D146" i="25"/>
  <c r="E146" i="25" s="1"/>
  <c r="G137" i="40"/>
  <c r="D138" i="40"/>
  <c r="E138" i="40" s="1"/>
  <c r="G138" i="39"/>
  <c r="D139" i="39"/>
  <c r="E139" i="39"/>
  <c r="J145" i="5"/>
  <c r="J140" i="28"/>
  <c r="G148" i="11"/>
  <c r="D149" i="11"/>
  <c r="E149" i="11" s="1"/>
  <c r="J145" i="3"/>
  <c r="J140" i="31"/>
  <c r="G141" i="28"/>
  <c r="D142" i="28"/>
  <c r="E142" i="28" s="1"/>
  <c r="J141" i="27"/>
  <c r="J139" i="30"/>
  <c r="G146" i="4"/>
  <c r="D147" i="4"/>
  <c r="E147" i="4" s="1"/>
  <c r="G145" i="22"/>
  <c r="D146" i="22"/>
  <c r="E146" i="22" s="1"/>
  <c r="G148" i="9"/>
  <c r="D149" i="9"/>
  <c r="E149" i="9" s="1"/>
  <c r="J140" i="29"/>
  <c r="G140" i="30"/>
  <c r="D141" i="30"/>
  <c r="E141" i="30" s="1"/>
  <c r="G149" i="7"/>
  <c r="D150" i="7"/>
  <c r="E150" i="7" s="1"/>
  <c r="G141" i="29"/>
  <c r="D142" i="29"/>
  <c r="E142" i="29" s="1"/>
  <c r="G147" i="8"/>
  <c r="D148" i="8"/>
  <c r="E148" i="8" s="1"/>
  <c r="G147" i="6"/>
  <c r="D148" i="6"/>
  <c r="E148" i="6" s="1"/>
  <c r="G142" i="27"/>
  <c r="D143" i="27"/>
  <c r="E143" i="27" s="1"/>
  <c r="G141" i="31"/>
  <c r="D142" i="31"/>
  <c r="E142" i="31" s="1"/>
  <c r="G143" i="24"/>
  <c r="D144" i="24"/>
  <c r="E144" i="24" s="1"/>
  <c r="G146" i="3"/>
  <c r="D147" i="3"/>
  <c r="G138" i="37"/>
  <c r="D139" i="37"/>
  <c r="E139" i="37" s="1"/>
  <c r="G138" i="43"/>
  <c r="D139" i="43"/>
  <c r="E139" i="43"/>
  <c r="J148" i="10"/>
  <c r="D151" i="45" l="1"/>
  <c r="B151" i="45" s="1"/>
  <c r="G150" i="45"/>
  <c r="I146" i="44"/>
  <c r="H146" i="44"/>
  <c r="E147" i="44"/>
  <c r="F147" i="44" s="1"/>
  <c r="B147" i="44"/>
  <c r="E144" i="38"/>
  <c r="F144" i="38" s="1"/>
  <c r="D145" i="38" s="1"/>
  <c r="B145" i="38" s="1"/>
  <c r="E143" i="42"/>
  <c r="F143" i="42" s="1"/>
  <c r="D144" i="42" s="1"/>
  <c r="H143" i="41"/>
  <c r="I143" i="41"/>
  <c r="H143" i="38"/>
  <c r="I143" i="38"/>
  <c r="E144" i="41"/>
  <c r="F144" i="41" s="1"/>
  <c r="B144" i="41"/>
  <c r="I142" i="42"/>
  <c r="H142" i="42"/>
  <c r="B147" i="3"/>
  <c r="B143" i="27"/>
  <c r="F143" i="27"/>
  <c r="H147" i="6"/>
  <c r="I147" i="6"/>
  <c r="B139" i="43"/>
  <c r="F139" i="43"/>
  <c r="I138" i="37"/>
  <c r="H138" i="37"/>
  <c r="B142" i="31"/>
  <c r="F142" i="31"/>
  <c r="H142" i="27"/>
  <c r="I142" i="27"/>
  <c r="B142" i="29"/>
  <c r="F142" i="29"/>
  <c r="H149" i="7"/>
  <c r="I149" i="7"/>
  <c r="B147" i="4"/>
  <c r="F147" i="4"/>
  <c r="I138" i="39"/>
  <c r="H138" i="39"/>
  <c r="B147" i="5"/>
  <c r="F147" i="5"/>
  <c r="H149" i="10"/>
  <c r="I149" i="10"/>
  <c r="B139" i="37"/>
  <c r="F139" i="37"/>
  <c r="H146" i="3"/>
  <c r="I146" i="3"/>
  <c r="I138" i="43"/>
  <c r="H138" i="43"/>
  <c r="E147" i="3"/>
  <c r="F147" i="3" s="1"/>
  <c r="B144" i="24"/>
  <c r="F144" i="24"/>
  <c r="H141" i="31"/>
  <c r="I141" i="31"/>
  <c r="B148" i="8"/>
  <c r="F148" i="8"/>
  <c r="H141" i="29"/>
  <c r="I141" i="29"/>
  <c r="B146" i="22"/>
  <c r="F146" i="22"/>
  <c r="H146" i="4"/>
  <c r="I146" i="4"/>
  <c r="F142" i="28"/>
  <c r="B142" i="28"/>
  <c r="B146" i="25"/>
  <c r="F146" i="25"/>
  <c r="I146" i="5"/>
  <c r="H146" i="5"/>
  <c r="B148" i="6"/>
  <c r="F148" i="6"/>
  <c r="H147" i="8"/>
  <c r="I147" i="8"/>
  <c r="B141" i="30"/>
  <c r="F141" i="30"/>
  <c r="B149" i="9"/>
  <c r="F149" i="9"/>
  <c r="H145" i="22"/>
  <c r="I145" i="22"/>
  <c r="H141" i="28"/>
  <c r="I141" i="28"/>
  <c r="B149" i="11"/>
  <c r="F149" i="11"/>
  <c r="B138" i="40"/>
  <c r="F138" i="40"/>
  <c r="I145" i="25"/>
  <c r="H145" i="25"/>
  <c r="B145" i="23"/>
  <c r="F145" i="23"/>
  <c r="H143" i="24"/>
  <c r="I143" i="24"/>
  <c r="B150" i="7"/>
  <c r="F150" i="7"/>
  <c r="I140" i="30"/>
  <c r="H140" i="30"/>
  <c r="I148" i="9"/>
  <c r="H148" i="9"/>
  <c r="I148" i="11"/>
  <c r="H148" i="11"/>
  <c r="B139" i="39"/>
  <c r="F139" i="39"/>
  <c r="H137" i="40"/>
  <c r="I137" i="40"/>
  <c r="B150" i="10"/>
  <c r="F150" i="10"/>
  <c r="I144" i="23"/>
  <c r="H144" i="23"/>
  <c r="E151" i="45" l="1"/>
  <c r="F151" i="45" s="1"/>
  <c r="D152" i="45" s="1"/>
  <c r="H150" i="45"/>
  <c r="I150" i="45"/>
  <c r="G144" i="38"/>
  <c r="H144" i="38" s="1"/>
  <c r="D148" i="44"/>
  <c r="G147" i="44"/>
  <c r="G143" i="42"/>
  <c r="I143" i="42" s="1"/>
  <c r="J146" i="4"/>
  <c r="J141" i="29"/>
  <c r="J141" i="31"/>
  <c r="E145" i="38"/>
  <c r="F145" i="38" s="1"/>
  <c r="D146" i="38" s="1"/>
  <c r="B146" i="38" s="1"/>
  <c r="E144" i="42"/>
  <c r="F144" i="42" s="1"/>
  <c r="B144" i="42"/>
  <c r="D145" i="41"/>
  <c r="G144" i="41"/>
  <c r="J146" i="5"/>
  <c r="J146" i="3"/>
  <c r="J149" i="10"/>
  <c r="J149" i="7"/>
  <c r="D148" i="3"/>
  <c r="E148" i="3" s="1"/>
  <c r="G147" i="3"/>
  <c r="D150" i="11"/>
  <c r="G149" i="11"/>
  <c r="G141" i="30"/>
  <c r="D142" i="30"/>
  <c r="E142" i="30" s="1"/>
  <c r="G146" i="25"/>
  <c r="D147" i="25"/>
  <c r="E147" i="25" s="1"/>
  <c r="J140" i="30"/>
  <c r="G139" i="37"/>
  <c r="D140" i="37"/>
  <c r="E140" i="37"/>
  <c r="G147" i="5"/>
  <c r="D148" i="5"/>
  <c r="E148" i="5" s="1"/>
  <c r="G147" i="4"/>
  <c r="D148" i="4"/>
  <c r="E148" i="4" s="1"/>
  <c r="G142" i="29"/>
  <c r="D143" i="29"/>
  <c r="E143" i="29" s="1"/>
  <c r="G142" i="31"/>
  <c r="D143" i="31"/>
  <c r="E143" i="31" s="1"/>
  <c r="G139" i="43"/>
  <c r="D140" i="43"/>
  <c r="E140" i="43" s="1"/>
  <c r="G143" i="27"/>
  <c r="D144" i="27"/>
  <c r="E144" i="27" s="1"/>
  <c r="G142" i="28"/>
  <c r="D143" i="28"/>
  <c r="E143" i="28" s="1"/>
  <c r="G148" i="6"/>
  <c r="D149" i="6"/>
  <c r="E149" i="6" s="1"/>
  <c r="G150" i="10"/>
  <c r="D151" i="10"/>
  <c r="E151" i="10" s="1"/>
  <c r="G139" i="39"/>
  <c r="D140" i="39"/>
  <c r="E140" i="39" s="1"/>
  <c r="G150" i="7"/>
  <c r="D151" i="7"/>
  <c r="G145" i="23"/>
  <c r="D146" i="23"/>
  <c r="E146" i="23" s="1"/>
  <c r="G138" i="40"/>
  <c r="D139" i="40"/>
  <c r="E139" i="40" s="1"/>
  <c r="J141" i="28"/>
  <c r="G149" i="9"/>
  <c r="D150" i="9"/>
  <c r="E150" i="9" s="1"/>
  <c r="J147" i="8"/>
  <c r="G146" i="22"/>
  <c r="D147" i="22"/>
  <c r="E147" i="22" s="1"/>
  <c r="G148" i="8"/>
  <c r="D149" i="8"/>
  <c r="E149" i="8" s="1"/>
  <c r="D145" i="24"/>
  <c r="E145" i="24" s="1"/>
  <c r="G144" i="24"/>
  <c r="J142" i="27"/>
  <c r="J147" i="6"/>
  <c r="I144" i="38" l="1"/>
  <c r="G151" i="45"/>
  <c r="I151" i="45" s="1"/>
  <c r="H151" i="45"/>
  <c r="B152" i="45"/>
  <c r="E152" i="45"/>
  <c r="F152" i="45" s="1"/>
  <c r="H143" i="42"/>
  <c r="H147" i="44"/>
  <c r="I147" i="44"/>
  <c r="E148" i="44"/>
  <c r="F148" i="44" s="1"/>
  <c r="B148" i="44"/>
  <c r="G145" i="38"/>
  <c r="H145" i="38" s="1"/>
  <c r="E146" i="38"/>
  <c r="F146" i="38" s="1"/>
  <c r="D147" i="38" s="1"/>
  <c r="B147" i="38" s="1"/>
  <c r="G144" i="42"/>
  <c r="D145" i="42"/>
  <c r="B145" i="42" s="1"/>
  <c r="H144" i="41"/>
  <c r="I144" i="41"/>
  <c r="E145" i="41"/>
  <c r="F145" i="41" s="1"/>
  <c r="B145" i="41"/>
  <c r="I145" i="38"/>
  <c r="H144" i="24"/>
  <c r="I144" i="24"/>
  <c r="H148" i="8"/>
  <c r="I148" i="8"/>
  <c r="B151" i="7"/>
  <c r="H139" i="39"/>
  <c r="I139" i="39"/>
  <c r="B143" i="28"/>
  <c r="F143" i="28"/>
  <c r="H143" i="27"/>
  <c r="I143" i="27"/>
  <c r="B143" i="29"/>
  <c r="F143" i="29"/>
  <c r="H147" i="4"/>
  <c r="I147" i="4"/>
  <c r="B142" i="30"/>
  <c r="F142" i="30"/>
  <c r="B150" i="11"/>
  <c r="B145" i="24"/>
  <c r="F145" i="24"/>
  <c r="B146" i="23"/>
  <c r="F146" i="23"/>
  <c r="H150" i="7"/>
  <c r="I150" i="7"/>
  <c r="B149" i="6"/>
  <c r="F149" i="6"/>
  <c r="H142" i="28"/>
  <c r="I142" i="28"/>
  <c r="B143" i="31"/>
  <c r="F143" i="31"/>
  <c r="H142" i="29"/>
  <c r="I142" i="29"/>
  <c r="B140" i="37"/>
  <c r="F140" i="37"/>
  <c r="B147" i="25"/>
  <c r="F147" i="25"/>
  <c r="H141" i="30"/>
  <c r="I141" i="30"/>
  <c r="B147" i="22"/>
  <c r="F147" i="22"/>
  <c r="B150" i="9"/>
  <c r="F150" i="9"/>
  <c r="B139" i="40"/>
  <c r="F139" i="40"/>
  <c r="I145" i="23"/>
  <c r="H145" i="23"/>
  <c r="B151" i="10"/>
  <c r="F151" i="10"/>
  <c r="H148" i="6"/>
  <c r="I148" i="6"/>
  <c r="B140" i="43"/>
  <c r="F140" i="43"/>
  <c r="H142" i="31"/>
  <c r="I142" i="31"/>
  <c r="B148" i="5"/>
  <c r="F148" i="5"/>
  <c r="H139" i="37"/>
  <c r="I139" i="37"/>
  <c r="I146" i="25"/>
  <c r="H146" i="25"/>
  <c r="E150" i="11"/>
  <c r="F150" i="11" s="1"/>
  <c r="H147" i="3"/>
  <c r="I147" i="3"/>
  <c r="B149" i="8"/>
  <c r="F149" i="8"/>
  <c r="H146" i="22"/>
  <c r="I146" i="22"/>
  <c r="H149" i="9"/>
  <c r="I149" i="9"/>
  <c r="I138" i="40"/>
  <c r="H138" i="40"/>
  <c r="E151" i="7"/>
  <c r="F151" i="7" s="1"/>
  <c r="B140" i="39"/>
  <c r="F140" i="39"/>
  <c r="H150" i="10"/>
  <c r="I150" i="10"/>
  <c r="B144" i="27"/>
  <c r="F144" i="27"/>
  <c r="I139" i="43"/>
  <c r="H139" i="43"/>
  <c r="B148" i="4"/>
  <c r="F148" i="4"/>
  <c r="H147" i="5"/>
  <c r="I147" i="5"/>
  <c r="I149" i="11"/>
  <c r="H149" i="11"/>
  <c r="B148" i="3"/>
  <c r="F148" i="3"/>
  <c r="D153" i="45" l="1"/>
  <c r="B153" i="45" s="1"/>
  <c r="G152" i="45"/>
  <c r="D149" i="44"/>
  <c r="G148" i="44"/>
  <c r="G146" i="38"/>
  <c r="H146" i="38" s="1"/>
  <c r="E145" i="42"/>
  <c r="F145" i="42" s="1"/>
  <c r="G145" i="42" s="1"/>
  <c r="J147" i="3"/>
  <c r="E147" i="38"/>
  <c r="F147" i="38" s="1"/>
  <c r="G145" i="41"/>
  <c r="D146" i="41"/>
  <c r="H144" i="42"/>
  <c r="I144" i="42"/>
  <c r="J147" i="4"/>
  <c r="J143" i="27"/>
  <c r="J148" i="8"/>
  <c r="J142" i="31"/>
  <c r="J148" i="6"/>
  <c r="J141" i="30"/>
  <c r="G151" i="7"/>
  <c r="D152" i="7"/>
  <c r="E152" i="7" s="1"/>
  <c r="D151" i="11"/>
  <c r="E151" i="11" s="1"/>
  <c r="G150" i="11"/>
  <c r="G148" i="4"/>
  <c r="D149" i="4"/>
  <c r="G144" i="27"/>
  <c r="D145" i="27"/>
  <c r="E145" i="27" s="1"/>
  <c r="G140" i="39"/>
  <c r="D141" i="39"/>
  <c r="E141" i="39" s="1"/>
  <c r="G150" i="9"/>
  <c r="D151" i="9"/>
  <c r="E151" i="9" s="1"/>
  <c r="G140" i="37"/>
  <c r="D141" i="37"/>
  <c r="E141" i="37" s="1"/>
  <c r="G143" i="31"/>
  <c r="D144" i="31"/>
  <c r="E144" i="31" s="1"/>
  <c r="G149" i="6"/>
  <c r="D150" i="6"/>
  <c r="E150" i="6" s="1"/>
  <c r="G146" i="23"/>
  <c r="D147" i="23"/>
  <c r="E147" i="23" s="1"/>
  <c r="G149" i="8"/>
  <c r="D150" i="8"/>
  <c r="G148" i="3"/>
  <c r="D149" i="3"/>
  <c r="E149" i="3" s="1"/>
  <c r="J147" i="5"/>
  <c r="J150" i="10"/>
  <c r="G148" i="5"/>
  <c r="D149" i="5"/>
  <c r="G140" i="43"/>
  <c r="D141" i="43"/>
  <c r="E141" i="43" s="1"/>
  <c r="G151" i="10"/>
  <c r="D152" i="10"/>
  <c r="E152" i="10" s="1"/>
  <c r="G139" i="40"/>
  <c r="D140" i="40"/>
  <c r="E140" i="40" s="1"/>
  <c r="G147" i="22"/>
  <c r="D148" i="22"/>
  <c r="G147" i="25"/>
  <c r="D148" i="25"/>
  <c r="E148" i="25" s="1"/>
  <c r="J142" i="29"/>
  <c r="J142" i="28"/>
  <c r="J150" i="7"/>
  <c r="G145" i="24"/>
  <c r="D146" i="24"/>
  <c r="E146" i="24" s="1"/>
  <c r="G142" i="30"/>
  <c r="D143" i="30"/>
  <c r="E143" i="30" s="1"/>
  <c r="G143" i="29"/>
  <c r="D144" i="29"/>
  <c r="E144" i="29" s="1"/>
  <c r="D144" i="28"/>
  <c r="E144" i="28" s="1"/>
  <c r="G143" i="28"/>
  <c r="I146" i="38" l="1"/>
  <c r="E153" i="45"/>
  <c r="F153" i="45" s="1"/>
  <c r="D154" i="45" s="1"/>
  <c r="B154" i="45" s="1"/>
  <c r="I152" i="45"/>
  <c r="H152" i="45"/>
  <c r="I148" i="44"/>
  <c r="H148" i="44"/>
  <c r="D146" i="42"/>
  <c r="E146" i="42" s="1"/>
  <c r="F146" i="42" s="1"/>
  <c r="E149" i="44"/>
  <c r="F149" i="44" s="1"/>
  <c r="B149" i="44"/>
  <c r="E146" i="41"/>
  <c r="F146" i="41" s="1"/>
  <c r="B146" i="41"/>
  <c r="H145" i="41"/>
  <c r="I145" i="41"/>
  <c r="I145" i="42"/>
  <c r="H145" i="42"/>
  <c r="D148" i="38"/>
  <c r="G147" i="38"/>
  <c r="B143" i="30"/>
  <c r="F143" i="30"/>
  <c r="I145" i="24"/>
  <c r="H145" i="24"/>
  <c r="B148" i="22"/>
  <c r="I139" i="40"/>
  <c r="H139" i="40"/>
  <c r="B149" i="5"/>
  <c r="B150" i="8"/>
  <c r="I146" i="23"/>
  <c r="H146" i="23"/>
  <c r="B141" i="37"/>
  <c r="F141" i="37"/>
  <c r="I150" i="9"/>
  <c r="H150" i="9"/>
  <c r="B149" i="4"/>
  <c r="B151" i="11"/>
  <c r="F151" i="11"/>
  <c r="B149" i="3"/>
  <c r="F149" i="3"/>
  <c r="H149" i="8"/>
  <c r="I149" i="8"/>
  <c r="F144" i="31"/>
  <c r="B144" i="31"/>
  <c r="H140" i="37"/>
  <c r="I140" i="37"/>
  <c r="B145" i="27"/>
  <c r="F145" i="27"/>
  <c r="H148" i="4"/>
  <c r="I148" i="4"/>
  <c r="B144" i="29"/>
  <c r="F144" i="29"/>
  <c r="I142" i="30"/>
  <c r="H142" i="30"/>
  <c r="I147" i="22"/>
  <c r="H147" i="22"/>
  <c r="B141" i="43"/>
  <c r="F141" i="43"/>
  <c r="H148" i="5"/>
  <c r="I148" i="5"/>
  <c r="H143" i="28"/>
  <c r="I143" i="28"/>
  <c r="H143" i="29"/>
  <c r="I143" i="29"/>
  <c r="I147" i="25"/>
  <c r="H147" i="25"/>
  <c r="B152" i="10"/>
  <c r="F152" i="10"/>
  <c r="H140" i="43"/>
  <c r="I140" i="43"/>
  <c r="I148" i="3"/>
  <c r="H148" i="3"/>
  <c r="B150" i="6"/>
  <c r="F150" i="6"/>
  <c r="I143" i="31"/>
  <c r="H143" i="31"/>
  <c r="B141" i="39"/>
  <c r="F141" i="39"/>
  <c r="I144" i="27"/>
  <c r="H144" i="27"/>
  <c r="B152" i="7"/>
  <c r="F152" i="7"/>
  <c r="B148" i="25"/>
  <c r="F148" i="25"/>
  <c r="B144" i="28"/>
  <c r="F144" i="28"/>
  <c r="B146" i="24"/>
  <c r="F146" i="24"/>
  <c r="E148" i="22"/>
  <c r="F148" i="22" s="1"/>
  <c r="B140" i="40"/>
  <c r="F140" i="40"/>
  <c r="I151" i="10"/>
  <c r="H151" i="10"/>
  <c r="E149" i="5"/>
  <c r="F149" i="5" s="1"/>
  <c r="E150" i="8"/>
  <c r="F150" i="8" s="1"/>
  <c r="B147" i="23"/>
  <c r="F147" i="23"/>
  <c r="I149" i="6"/>
  <c r="H149" i="6"/>
  <c r="B151" i="9"/>
  <c r="F151" i="9"/>
  <c r="I140" i="39"/>
  <c r="H140" i="39"/>
  <c r="E149" i="4"/>
  <c r="F149" i="4" s="1"/>
  <c r="H150" i="11"/>
  <c r="I150" i="11"/>
  <c r="I151" i="7"/>
  <c r="H151" i="7"/>
  <c r="G153" i="45" l="1"/>
  <c r="H153" i="45" s="1"/>
  <c r="E154" i="45"/>
  <c r="E155" i="45" s="1"/>
  <c r="D150" i="44"/>
  <c r="B150" i="44" s="1"/>
  <c r="G149" i="44"/>
  <c r="B146" i="42"/>
  <c r="D147" i="42"/>
  <c r="G146" i="42"/>
  <c r="D147" i="41"/>
  <c r="G146" i="41"/>
  <c r="I147" i="38"/>
  <c r="H147" i="38"/>
  <c r="E148" i="38"/>
  <c r="F148" i="38" s="1"/>
  <c r="B148" i="38"/>
  <c r="J142" i="30"/>
  <c r="J151" i="7"/>
  <c r="J144" i="27"/>
  <c r="J143" i="31"/>
  <c r="J148" i="3"/>
  <c r="G148" i="22"/>
  <c r="D149" i="22"/>
  <c r="E149" i="22" s="1"/>
  <c r="G149" i="4"/>
  <c r="D150" i="4"/>
  <c r="E150" i="4" s="1"/>
  <c r="G150" i="8"/>
  <c r="D151" i="8"/>
  <c r="G149" i="5"/>
  <c r="D150" i="5"/>
  <c r="E150" i="5" s="1"/>
  <c r="J151" i="10"/>
  <c r="G146" i="24"/>
  <c r="D147" i="24"/>
  <c r="E147" i="24" s="1"/>
  <c r="G148" i="25"/>
  <c r="D149" i="25"/>
  <c r="E149" i="25" s="1"/>
  <c r="G152" i="10"/>
  <c r="D153" i="10"/>
  <c r="E153" i="10" s="1"/>
  <c r="J143" i="29"/>
  <c r="J148" i="5"/>
  <c r="G144" i="29"/>
  <c r="D145" i="29"/>
  <c r="E145" i="29" s="1"/>
  <c r="G145" i="27"/>
  <c r="D146" i="27"/>
  <c r="E146" i="27" s="1"/>
  <c r="G149" i="3"/>
  <c r="D150" i="3"/>
  <c r="G141" i="37"/>
  <c r="D142" i="37"/>
  <c r="E142" i="37" s="1"/>
  <c r="G144" i="31"/>
  <c r="D145" i="31"/>
  <c r="E145" i="31" s="1"/>
  <c r="G140" i="40"/>
  <c r="D141" i="40"/>
  <c r="E141" i="40" s="1"/>
  <c r="J149" i="6"/>
  <c r="G144" i="28"/>
  <c r="D145" i="28"/>
  <c r="E145" i="28" s="1"/>
  <c r="D153" i="7"/>
  <c r="G152" i="7"/>
  <c r="G141" i="39"/>
  <c r="D142" i="39"/>
  <c r="E142" i="39" s="1"/>
  <c r="G150" i="6"/>
  <c r="D151" i="6"/>
  <c r="E151" i="6" s="1"/>
  <c r="J143" i="28"/>
  <c r="G141" i="43"/>
  <c r="D142" i="43"/>
  <c r="E142" i="43" s="1"/>
  <c r="J148" i="4"/>
  <c r="J149" i="8"/>
  <c r="G151" i="11"/>
  <c r="D152" i="11"/>
  <c r="E152" i="11" s="1"/>
  <c r="G143" i="30"/>
  <c r="D144" i="30"/>
  <c r="E144" i="30" s="1"/>
  <c r="D152" i="9"/>
  <c r="E152" i="9" s="1"/>
  <c r="G151" i="9"/>
  <c r="G147" i="23"/>
  <c r="D148" i="23"/>
  <c r="I153" i="45" l="1"/>
  <c r="F154" i="45"/>
  <c r="G154" i="45" s="1"/>
  <c r="E150" i="44"/>
  <c r="F150" i="44" s="1"/>
  <c r="G150" i="44" s="1"/>
  <c r="I149" i="44"/>
  <c r="H149" i="44"/>
  <c r="E147" i="41"/>
  <c r="F147" i="41" s="1"/>
  <c r="B147" i="41"/>
  <c r="D149" i="38"/>
  <c r="G148" i="38"/>
  <c r="I146" i="42"/>
  <c r="H146" i="42"/>
  <c r="H146" i="41"/>
  <c r="I146" i="41"/>
  <c r="E147" i="42"/>
  <c r="F147" i="42" s="1"/>
  <c r="B147" i="42"/>
  <c r="H147" i="23"/>
  <c r="I147" i="23"/>
  <c r="B148" i="23"/>
  <c r="B152" i="9"/>
  <c r="F152" i="9"/>
  <c r="H152" i="7"/>
  <c r="I152" i="7"/>
  <c r="H144" i="28"/>
  <c r="I144" i="28"/>
  <c r="H140" i="40"/>
  <c r="I140" i="40"/>
  <c r="B150" i="3"/>
  <c r="H145" i="27"/>
  <c r="I145" i="27"/>
  <c r="I152" i="10"/>
  <c r="H152" i="10"/>
  <c r="B151" i="8"/>
  <c r="H149" i="4"/>
  <c r="I149" i="4"/>
  <c r="B152" i="11"/>
  <c r="F152" i="11"/>
  <c r="B142" i="39"/>
  <c r="F142" i="39"/>
  <c r="B153" i="7"/>
  <c r="B142" i="37"/>
  <c r="F142" i="37"/>
  <c r="H149" i="3"/>
  <c r="I149" i="3"/>
  <c r="B147" i="24"/>
  <c r="F147" i="24"/>
  <c r="B150" i="5"/>
  <c r="F150" i="5"/>
  <c r="I150" i="8"/>
  <c r="H150" i="8"/>
  <c r="B142" i="43"/>
  <c r="F142" i="43"/>
  <c r="B151" i="6"/>
  <c r="F151" i="6"/>
  <c r="H141" i="39"/>
  <c r="I141" i="39"/>
  <c r="B145" i="31"/>
  <c r="F145" i="31"/>
  <c r="I141" i="37"/>
  <c r="H141" i="37"/>
  <c r="B145" i="29"/>
  <c r="F145" i="29"/>
  <c r="B149" i="25"/>
  <c r="F149" i="25"/>
  <c r="H146" i="24"/>
  <c r="I146" i="24"/>
  <c r="H149" i="5"/>
  <c r="I149" i="5"/>
  <c r="B149" i="22"/>
  <c r="F149" i="22"/>
  <c r="B144" i="30"/>
  <c r="F144" i="30"/>
  <c r="I151" i="11"/>
  <c r="H151" i="11"/>
  <c r="E148" i="23"/>
  <c r="F148" i="23" s="1"/>
  <c r="I151" i="9"/>
  <c r="H151" i="9"/>
  <c r="H143" i="30"/>
  <c r="I143" i="30"/>
  <c r="I141" i="43"/>
  <c r="H141" i="43"/>
  <c r="H150" i="6"/>
  <c r="I150" i="6"/>
  <c r="E153" i="7"/>
  <c r="F153" i="7" s="1"/>
  <c r="B145" i="28"/>
  <c r="F145" i="28"/>
  <c r="B141" i="40"/>
  <c r="F141" i="40"/>
  <c r="I144" i="31"/>
  <c r="H144" i="31"/>
  <c r="E150" i="3"/>
  <c r="F150" i="3" s="1"/>
  <c r="B146" i="27"/>
  <c r="F146" i="27"/>
  <c r="H144" i="29"/>
  <c r="I144" i="29"/>
  <c r="B153" i="10"/>
  <c r="F153" i="10"/>
  <c r="I148" i="25"/>
  <c r="H148" i="25"/>
  <c r="E151" i="8"/>
  <c r="F151" i="8" s="1"/>
  <c r="B150" i="4"/>
  <c r="F150" i="4"/>
  <c r="I148" i="22"/>
  <c r="H148" i="22"/>
  <c r="D151" i="44" l="1"/>
  <c r="I154" i="45"/>
  <c r="I155" i="45" s="1"/>
  <c r="H154" i="45"/>
  <c r="H155" i="45" s="1"/>
  <c r="E151" i="44"/>
  <c r="F151" i="44" s="1"/>
  <c r="B151" i="44"/>
  <c r="H150" i="44"/>
  <c r="I150" i="44"/>
  <c r="J144" i="29"/>
  <c r="E149" i="38"/>
  <c r="F149" i="38" s="1"/>
  <c r="B149" i="38"/>
  <c r="G147" i="42"/>
  <c r="D148" i="42"/>
  <c r="G147" i="41"/>
  <c r="D148" i="41"/>
  <c r="B148" i="41" s="1"/>
  <c r="I148" i="38"/>
  <c r="H148" i="38"/>
  <c r="J150" i="6"/>
  <c r="J143" i="30"/>
  <c r="J145" i="27"/>
  <c r="J144" i="31"/>
  <c r="J152" i="10"/>
  <c r="J150" i="8"/>
  <c r="G151" i="8"/>
  <c r="D152" i="8"/>
  <c r="E152" i="8" s="1"/>
  <c r="G153" i="7"/>
  <c r="D154" i="7"/>
  <c r="E154" i="7" s="1"/>
  <c r="E155" i="7" s="1"/>
  <c r="G148" i="23"/>
  <c r="D149" i="23"/>
  <c r="D151" i="3"/>
  <c r="E151" i="3" s="1"/>
  <c r="G150" i="3"/>
  <c r="G153" i="10"/>
  <c r="D154" i="10"/>
  <c r="E154" i="10" s="1"/>
  <c r="E155" i="10" s="1"/>
  <c r="G141" i="40"/>
  <c r="D142" i="40"/>
  <c r="E142" i="40" s="1"/>
  <c r="G144" i="30"/>
  <c r="D145" i="30"/>
  <c r="E145" i="30" s="1"/>
  <c r="J149" i="5"/>
  <c r="G149" i="25"/>
  <c r="D150" i="25"/>
  <c r="G142" i="43"/>
  <c r="D143" i="43"/>
  <c r="E143" i="43" s="1"/>
  <c r="G150" i="5"/>
  <c r="D151" i="5"/>
  <c r="E151" i="5" s="1"/>
  <c r="J149" i="3"/>
  <c r="G152" i="11"/>
  <c r="D153" i="11"/>
  <c r="E153" i="11" s="1"/>
  <c r="J152" i="7"/>
  <c r="G150" i="4"/>
  <c r="D151" i="4"/>
  <c r="E151" i="4" s="1"/>
  <c r="G145" i="28"/>
  <c r="D146" i="28"/>
  <c r="E146" i="28" s="1"/>
  <c r="G149" i="22"/>
  <c r="D150" i="22"/>
  <c r="G145" i="29"/>
  <c r="D146" i="29"/>
  <c r="E146" i="29" s="1"/>
  <c r="G145" i="31"/>
  <c r="D146" i="31"/>
  <c r="E146" i="31" s="1"/>
  <c r="D152" i="6"/>
  <c r="E152" i="6" s="1"/>
  <c r="G151" i="6"/>
  <c r="G147" i="24"/>
  <c r="D148" i="24"/>
  <c r="G142" i="37"/>
  <c r="D143" i="37"/>
  <c r="E143" i="37" s="1"/>
  <c r="G142" i="39"/>
  <c r="D143" i="39"/>
  <c r="E143" i="39" s="1"/>
  <c r="J149" i="4"/>
  <c r="J144" i="28"/>
  <c r="D153" i="9"/>
  <c r="E153" i="9" s="1"/>
  <c r="G152" i="9"/>
  <c r="G146" i="27"/>
  <c r="D147" i="27"/>
  <c r="E147" i="27" s="1"/>
  <c r="G151" i="44" l="1"/>
  <c r="D152" i="44"/>
  <c r="E148" i="41"/>
  <c r="F148" i="41" s="1"/>
  <c r="G148" i="41" s="1"/>
  <c r="H147" i="41"/>
  <c r="I147" i="41"/>
  <c r="D150" i="38"/>
  <c r="G149" i="38"/>
  <c r="I147" i="42"/>
  <c r="H147" i="42"/>
  <c r="E148" i="42"/>
  <c r="F148" i="42" s="1"/>
  <c r="B148" i="42"/>
  <c r="B148" i="24"/>
  <c r="F152" i="6"/>
  <c r="B152" i="6"/>
  <c r="B150" i="22"/>
  <c r="H145" i="28"/>
  <c r="I145" i="28"/>
  <c r="B150" i="25"/>
  <c r="B145" i="30"/>
  <c r="F145" i="30"/>
  <c r="I141" i="40"/>
  <c r="H141" i="40"/>
  <c r="B149" i="23"/>
  <c r="I153" i="7"/>
  <c r="H153" i="7"/>
  <c r="B153" i="9"/>
  <c r="F153" i="9"/>
  <c r="H152" i="9"/>
  <c r="I152" i="9"/>
  <c r="B143" i="37"/>
  <c r="F143" i="37"/>
  <c r="H147" i="24"/>
  <c r="I147" i="24"/>
  <c r="B146" i="29"/>
  <c r="F146" i="29"/>
  <c r="H149" i="22"/>
  <c r="I149" i="22"/>
  <c r="B143" i="43"/>
  <c r="F143" i="43"/>
  <c r="H149" i="25"/>
  <c r="I149" i="25"/>
  <c r="H144" i="30"/>
  <c r="I144" i="30"/>
  <c r="H150" i="3"/>
  <c r="I150" i="3"/>
  <c r="H148" i="23"/>
  <c r="I148" i="23"/>
  <c r="B143" i="39"/>
  <c r="F143" i="39"/>
  <c r="I142" i="37"/>
  <c r="H142" i="37"/>
  <c r="B146" i="31"/>
  <c r="F146" i="31"/>
  <c r="H145" i="29"/>
  <c r="I145" i="29"/>
  <c r="B153" i="11"/>
  <c r="F153" i="11"/>
  <c r="B151" i="5"/>
  <c r="F151" i="5"/>
  <c r="I142" i="43"/>
  <c r="H142" i="43"/>
  <c r="B154" i="10"/>
  <c r="F154" i="10"/>
  <c r="G154" i="10" s="1"/>
  <c r="B151" i="3"/>
  <c r="F151" i="3"/>
  <c r="B152" i="8"/>
  <c r="F152" i="8"/>
  <c r="B147" i="27"/>
  <c r="F147" i="27"/>
  <c r="B151" i="4"/>
  <c r="F151" i="4"/>
  <c r="H146" i="27"/>
  <c r="I146" i="27"/>
  <c r="I142" i="39"/>
  <c r="H142" i="39"/>
  <c r="E148" i="24"/>
  <c r="F148" i="24" s="1"/>
  <c r="H151" i="6"/>
  <c r="I151" i="6"/>
  <c r="H145" i="31"/>
  <c r="I145" i="31"/>
  <c r="E150" i="22"/>
  <c r="F150" i="22" s="1"/>
  <c r="B146" i="28"/>
  <c r="F146" i="28"/>
  <c r="H150" i="4"/>
  <c r="I150" i="4"/>
  <c r="I152" i="11"/>
  <c r="H152" i="11"/>
  <c r="H150" i="5"/>
  <c r="I150" i="5"/>
  <c r="E150" i="25"/>
  <c r="F150" i="25" s="1"/>
  <c r="B142" i="40"/>
  <c r="F142" i="40"/>
  <c r="H153" i="10"/>
  <c r="I153" i="10"/>
  <c r="E149" i="23"/>
  <c r="F149" i="23" s="1"/>
  <c r="B154" i="7"/>
  <c r="F154" i="7"/>
  <c r="G154" i="7" s="1"/>
  <c r="H151" i="8"/>
  <c r="I151" i="8"/>
  <c r="E152" i="44" l="1"/>
  <c r="B152" i="44"/>
  <c r="F152" i="44"/>
  <c r="H151" i="44"/>
  <c r="I151" i="44"/>
  <c r="D149" i="41"/>
  <c r="B149" i="41" s="1"/>
  <c r="H149" i="38"/>
  <c r="I149" i="38"/>
  <c r="G148" i="42"/>
  <c r="D149" i="42"/>
  <c r="E150" i="38"/>
  <c r="F150" i="38" s="1"/>
  <c r="B150" i="38"/>
  <c r="H148" i="41"/>
  <c r="I148" i="41"/>
  <c r="J151" i="6"/>
  <c r="J145" i="28"/>
  <c r="J153" i="10"/>
  <c r="J145" i="31"/>
  <c r="J153" i="7"/>
  <c r="G150" i="25"/>
  <c r="D151" i="25"/>
  <c r="E151" i="25" s="1"/>
  <c r="G149" i="23"/>
  <c r="D150" i="23"/>
  <c r="E150" i="23" s="1"/>
  <c r="G150" i="22"/>
  <c r="D151" i="22"/>
  <c r="E151" i="22" s="1"/>
  <c r="G148" i="24"/>
  <c r="D149" i="24"/>
  <c r="E149" i="24" s="1"/>
  <c r="J151" i="8"/>
  <c r="G146" i="28"/>
  <c r="D147" i="28"/>
  <c r="E147" i="28" s="1"/>
  <c r="G151" i="4"/>
  <c r="D152" i="4"/>
  <c r="E152" i="4" s="1"/>
  <c r="G152" i="8"/>
  <c r="D153" i="8"/>
  <c r="E153" i="8" s="1"/>
  <c r="H154" i="10"/>
  <c r="H155" i="10" s="1"/>
  <c r="I154" i="10"/>
  <c r="G151" i="5"/>
  <c r="D152" i="5"/>
  <c r="E152" i="5" s="1"/>
  <c r="J145" i="29"/>
  <c r="J144" i="30"/>
  <c r="G143" i="43"/>
  <c r="D144" i="43"/>
  <c r="E144" i="43" s="1"/>
  <c r="G146" i="29"/>
  <c r="D147" i="29"/>
  <c r="E147" i="29" s="1"/>
  <c r="G143" i="37"/>
  <c r="D144" i="37"/>
  <c r="E144" i="37" s="1"/>
  <c r="D154" i="9"/>
  <c r="G153" i="9"/>
  <c r="G145" i="30"/>
  <c r="D146" i="30"/>
  <c r="E146" i="30" s="1"/>
  <c r="D153" i="6"/>
  <c r="E153" i="6" s="1"/>
  <c r="G152" i="6"/>
  <c r="I154" i="7"/>
  <c r="H154" i="7"/>
  <c r="H155" i="7" s="1"/>
  <c r="J150" i="5"/>
  <c r="J150" i="4"/>
  <c r="J146" i="27"/>
  <c r="G147" i="27"/>
  <c r="D148" i="27"/>
  <c r="E148" i="27" s="1"/>
  <c r="G151" i="3"/>
  <c r="D152" i="3"/>
  <c r="E152" i="3" s="1"/>
  <c r="D154" i="11"/>
  <c r="E154" i="11" s="1"/>
  <c r="E155" i="11" s="1"/>
  <c r="G153" i="11"/>
  <c r="G146" i="31"/>
  <c r="D147" i="31"/>
  <c r="E147" i="31" s="1"/>
  <c r="G143" i="39"/>
  <c r="D144" i="39"/>
  <c r="E144" i="39" s="1"/>
  <c r="J150" i="3"/>
  <c r="G142" i="40"/>
  <c r="D143" i="40"/>
  <c r="E143" i="40" s="1"/>
  <c r="G152" i="44" l="1"/>
  <c r="D153" i="44"/>
  <c r="E149" i="41"/>
  <c r="F149" i="41" s="1"/>
  <c r="G149" i="41" s="1"/>
  <c r="H149" i="41" s="1"/>
  <c r="D151" i="38"/>
  <c r="G150" i="38"/>
  <c r="E149" i="42"/>
  <c r="F149" i="42" s="1"/>
  <c r="B149" i="42"/>
  <c r="I148" i="42"/>
  <c r="H148" i="42"/>
  <c r="B143" i="40"/>
  <c r="F143" i="40"/>
  <c r="H142" i="40"/>
  <c r="I142" i="40"/>
  <c r="I153" i="11"/>
  <c r="H153" i="11"/>
  <c r="H151" i="3"/>
  <c r="I151" i="3"/>
  <c r="J154" i="7"/>
  <c r="J155" i="7" s="1"/>
  <c r="I155" i="7"/>
  <c r="I153" i="9"/>
  <c r="H153" i="9"/>
  <c r="H143" i="37"/>
  <c r="I143" i="37"/>
  <c r="J154" i="10"/>
  <c r="J155" i="10" s="1"/>
  <c r="I155" i="10"/>
  <c r="H152" i="8"/>
  <c r="I152" i="8"/>
  <c r="B151" i="22"/>
  <c r="F151" i="22"/>
  <c r="H149" i="23"/>
  <c r="I149" i="23"/>
  <c r="B146" i="30"/>
  <c r="F146" i="30"/>
  <c r="B154" i="9"/>
  <c r="B144" i="43"/>
  <c r="F144" i="43"/>
  <c r="B147" i="28"/>
  <c r="F147" i="28"/>
  <c r="B149" i="24"/>
  <c r="F149" i="24"/>
  <c r="I150" i="22"/>
  <c r="H150" i="22"/>
  <c r="B154" i="11"/>
  <c r="F154" i="11"/>
  <c r="G154" i="11" s="1"/>
  <c r="B148" i="27"/>
  <c r="F148" i="27"/>
  <c r="I152" i="6"/>
  <c r="H152" i="6"/>
  <c r="I145" i="30"/>
  <c r="H145" i="30"/>
  <c r="B147" i="29"/>
  <c r="F147" i="29"/>
  <c r="I143" i="43"/>
  <c r="H143" i="43"/>
  <c r="B152" i="5"/>
  <c r="F152" i="5"/>
  <c r="B152" i="4"/>
  <c r="F152" i="4"/>
  <c r="I146" i="28"/>
  <c r="H146" i="28"/>
  <c r="H148" i="24"/>
  <c r="I148" i="24"/>
  <c r="B151" i="25"/>
  <c r="F151" i="25"/>
  <c r="B147" i="31"/>
  <c r="F147" i="31"/>
  <c r="B144" i="39"/>
  <c r="F144" i="39"/>
  <c r="H146" i="31"/>
  <c r="I146" i="31"/>
  <c r="H143" i="39"/>
  <c r="I143" i="39"/>
  <c r="B152" i="3"/>
  <c r="F152" i="3"/>
  <c r="H147" i="27"/>
  <c r="I147" i="27"/>
  <c r="B153" i="6"/>
  <c r="F153" i="6"/>
  <c r="E154" i="9"/>
  <c r="E155" i="9" s="1"/>
  <c r="B144" i="37"/>
  <c r="F144" i="37"/>
  <c r="H146" i="29"/>
  <c r="I146" i="29"/>
  <c r="H151" i="5"/>
  <c r="I151" i="5"/>
  <c r="B153" i="8"/>
  <c r="F153" i="8"/>
  <c r="H151" i="4"/>
  <c r="I151" i="4"/>
  <c r="B150" i="23"/>
  <c r="F150" i="23"/>
  <c r="H150" i="25"/>
  <c r="I150" i="25"/>
  <c r="D150" i="41" l="1"/>
  <c r="B150" i="41" s="1"/>
  <c r="I149" i="41"/>
  <c r="E153" i="44"/>
  <c r="F153" i="44" s="1"/>
  <c r="B153" i="44"/>
  <c r="H152" i="44"/>
  <c r="I152" i="44"/>
  <c r="H150" i="38"/>
  <c r="I150" i="38"/>
  <c r="G149" i="42"/>
  <c r="D150" i="42"/>
  <c r="B150" i="42" s="1"/>
  <c r="E151" i="38"/>
  <c r="F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J147" i="27"/>
  <c r="G144" i="39"/>
  <c r="D145" i="39"/>
  <c r="E145" i="39" s="1"/>
  <c r="G151" i="25"/>
  <c r="D152" i="25"/>
  <c r="E152" i="25" s="1"/>
  <c r="G152" i="5"/>
  <c r="D153" i="5"/>
  <c r="E153" i="5" s="1"/>
  <c r="G147" i="29"/>
  <c r="D148" i="29"/>
  <c r="E148" i="29" s="1"/>
  <c r="H154" i="11"/>
  <c r="H155" i="11" s="1"/>
  <c r="I154" i="11"/>
  <c r="I155" i="11" s="1"/>
  <c r="G149" i="24"/>
  <c r="D150" i="24"/>
  <c r="E150" i="24" s="1"/>
  <c r="G144" i="43"/>
  <c r="D145" i="43"/>
  <c r="E145" i="43" s="1"/>
  <c r="G146" i="30"/>
  <c r="D147" i="30"/>
  <c r="E147" i="30" s="1"/>
  <c r="G151" i="22"/>
  <c r="D152" i="22"/>
  <c r="E152" i="22" s="1"/>
  <c r="D154" i="6"/>
  <c r="E154" i="6" s="1"/>
  <c r="E155" i="6" s="1"/>
  <c r="G153" i="6"/>
  <c r="G152" i="3"/>
  <c r="D153" i="3"/>
  <c r="E153" i="3" s="1"/>
  <c r="J146" i="31"/>
  <c r="G147" i="31"/>
  <c r="D148" i="31"/>
  <c r="E148" i="31" s="1"/>
  <c r="G152" i="4"/>
  <c r="D153" i="4"/>
  <c r="E153" i="4" s="1"/>
  <c r="G148" i="27"/>
  <c r="D149" i="27"/>
  <c r="E149" i="27" s="1"/>
  <c r="G147" i="28"/>
  <c r="D148" i="28"/>
  <c r="E148" i="28" s="1"/>
  <c r="F154" i="9"/>
  <c r="G154" i="9" s="1"/>
  <c r="G143" i="40"/>
  <c r="D144" i="40"/>
  <c r="E144" i="40" s="1"/>
  <c r="D151" i="23"/>
  <c r="E151" i="23" s="1"/>
  <c r="G150" i="23"/>
  <c r="G144" i="37"/>
  <c r="D145" i="37"/>
  <c r="E145" i="37" s="1"/>
  <c r="D154" i="44" l="1"/>
  <c r="G153" i="44"/>
  <c r="E150" i="41"/>
  <c r="F150" i="41" s="1"/>
  <c r="E150" i="42"/>
  <c r="F150" i="42" s="1"/>
  <c r="D151" i="42" s="1"/>
  <c r="D152" i="38"/>
  <c r="G151" i="38"/>
  <c r="I149" i="42"/>
  <c r="H149" i="42"/>
  <c r="B144" i="40"/>
  <c r="F144" i="40"/>
  <c r="B148" i="28"/>
  <c r="F148" i="28"/>
  <c r="H148" i="27"/>
  <c r="I148" i="27"/>
  <c r="H153" i="6"/>
  <c r="I153" i="6"/>
  <c r="H151" i="22"/>
  <c r="I151" i="22"/>
  <c r="B150" i="24"/>
  <c r="F150" i="24"/>
  <c r="B153" i="5"/>
  <c r="F153" i="5"/>
  <c r="I151" i="25"/>
  <c r="H151" i="25"/>
  <c r="H150" i="23"/>
  <c r="I150" i="23"/>
  <c r="I143" i="40"/>
  <c r="H143" i="40"/>
  <c r="I147" i="28"/>
  <c r="H147" i="28"/>
  <c r="B148" i="31"/>
  <c r="F148" i="31"/>
  <c r="B153" i="3"/>
  <c r="F153" i="3"/>
  <c r="B154" i="6"/>
  <c r="F154" i="6"/>
  <c r="G154" i="6" s="1"/>
  <c r="B145" i="43"/>
  <c r="F145" i="43"/>
  <c r="H149" i="24"/>
  <c r="I149" i="24"/>
  <c r="B148" i="29"/>
  <c r="F148" i="29"/>
  <c r="H152" i="5"/>
  <c r="I152" i="5"/>
  <c r="B151" i="23"/>
  <c r="F151" i="23"/>
  <c r="H154" i="9"/>
  <c r="H155" i="9" s="1"/>
  <c r="I154" i="9"/>
  <c r="I155" i="9" s="1"/>
  <c r="B153" i="4"/>
  <c r="F153" i="4"/>
  <c r="H147" i="31"/>
  <c r="I147" i="31"/>
  <c r="H152" i="3"/>
  <c r="I152" i="3"/>
  <c r="B147" i="30"/>
  <c r="F147" i="30"/>
  <c r="H144" i="43"/>
  <c r="I144" i="43"/>
  <c r="H147" i="29"/>
  <c r="I147" i="29"/>
  <c r="B145" i="39"/>
  <c r="F145" i="39"/>
  <c r="H153" i="8"/>
  <c r="I153" i="8"/>
  <c r="B145" i="37"/>
  <c r="F145" i="37"/>
  <c r="H144" i="37"/>
  <c r="I144" i="37"/>
  <c r="B149" i="27"/>
  <c r="F149" i="27"/>
  <c r="H152" i="4"/>
  <c r="I152" i="4"/>
  <c r="B152" i="22"/>
  <c r="F152" i="22"/>
  <c r="H146" i="30"/>
  <c r="I146" i="30"/>
  <c r="B152" i="25"/>
  <c r="F152" i="25"/>
  <c r="H144" i="39"/>
  <c r="I144" i="39"/>
  <c r="B154" i="8"/>
  <c r="F154" i="8"/>
  <c r="G154" i="8" s="1"/>
  <c r="G150" i="42" l="1"/>
  <c r="D151" i="41"/>
  <c r="G150" i="41"/>
  <c r="H153" i="44"/>
  <c r="I153" i="44"/>
  <c r="E151" i="41"/>
  <c r="E154" i="44"/>
  <c r="E155" i="44" s="1"/>
  <c r="B154" i="44"/>
  <c r="H150" i="42"/>
  <c r="I150" i="42"/>
  <c r="E151" i="42"/>
  <c r="F151" i="42" s="1"/>
  <c r="B151" i="42"/>
  <c r="H151" i="38"/>
  <c r="I151" i="38"/>
  <c r="E152" i="38"/>
  <c r="F152" i="38" s="1"/>
  <c r="B152" i="38"/>
  <c r="J148" i="27"/>
  <c r="J146" i="30"/>
  <c r="J152" i="4"/>
  <c r="J153" i="8"/>
  <c r="J147" i="29"/>
  <c r="G147" i="30"/>
  <c r="D148" i="30"/>
  <c r="E148" i="30" s="1"/>
  <c r="J147" i="31"/>
  <c r="J152" i="5"/>
  <c r="H154" i="6"/>
  <c r="H155" i="6" s="1"/>
  <c r="I154" i="6"/>
  <c r="D149" i="31"/>
  <c r="E149" i="31" s="1"/>
  <c r="G148" i="31"/>
  <c r="G150" i="24"/>
  <c r="D151" i="24"/>
  <c r="E151" i="24" s="1"/>
  <c r="J153" i="6"/>
  <c r="G148" i="28"/>
  <c r="D149" i="28"/>
  <c r="E149" i="28" s="1"/>
  <c r="H154" i="8"/>
  <c r="H155" i="8" s="1"/>
  <c r="I154" i="8"/>
  <c r="G152" i="25"/>
  <c r="D153" i="25"/>
  <c r="E153" i="25" s="1"/>
  <c r="G152" i="22"/>
  <c r="D153" i="22"/>
  <c r="E153" i="22" s="1"/>
  <c r="D150" i="27"/>
  <c r="E150" i="27" s="1"/>
  <c r="G149" i="27"/>
  <c r="G145" i="37"/>
  <c r="D146" i="37"/>
  <c r="E146" i="37" s="1"/>
  <c r="G145" i="39"/>
  <c r="D146" i="39"/>
  <c r="E146" i="39" s="1"/>
  <c r="J152" i="3"/>
  <c r="G153" i="4"/>
  <c r="D154" i="4"/>
  <c r="E154" i="4" s="1"/>
  <c r="E155" i="4" s="1"/>
  <c r="G151" i="23"/>
  <c r="D152" i="23"/>
  <c r="E152" i="23" s="1"/>
  <c r="G148" i="29"/>
  <c r="D149" i="29"/>
  <c r="E149" i="29" s="1"/>
  <c r="G145" i="43"/>
  <c r="D146" i="43"/>
  <c r="E146" i="43" s="1"/>
  <c r="G153" i="3"/>
  <c r="D154" i="3"/>
  <c r="E154" i="3" s="1"/>
  <c r="E155" i="3" s="1"/>
  <c r="G153" i="5"/>
  <c r="D154" i="5"/>
  <c r="E154" i="5" s="1"/>
  <c r="E155" i="5" s="1"/>
  <c r="G144" i="40"/>
  <c r="D145" i="40"/>
  <c r="E145" i="40" s="1"/>
  <c r="J147" i="28"/>
  <c r="F154" i="44" l="1"/>
  <c r="G154" i="44" s="1"/>
  <c r="H154" i="44" s="1"/>
  <c r="H155" i="44" s="1"/>
  <c r="I150" i="41"/>
  <c r="H150" i="41"/>
  <c r="B151" i="41"/>
  <c r="F151" i="41"/>
  <c r="G151" i="42"/>
  <c r="D152" i="42"/>
  <c r="D153" i="38"/>
  <c r="B153" i="38" s="1"/>
  <c r="G152" i="38"/>
  <c r="B154" i="3"/>
  <c r="F154" i="3"/>
  <c r="G154" i="3" s="1"/>
  <c r="I145" i="43"/>
  <c r="H145" i="43"/>
  <c r="B154" i="4"/>
  <c r="F154" i="4"/>
  <c r="G154" i="4" s="1"/>
  <c r="B146" i="39"/>
  <c r="F146" i="39"/>
  <c r="H145" i="37"/>
  <c r="I145" i="37"/>
  <c r="B153" i="25"/>
  <c r="F153" i="25"/>
  <c r="H148" i="31"/>
  <c r="I148" i="31"/>
  <c r="H147" i="30"/>
  <c r="I147" i="30"/>
  <c r="H153" i="3"/>
  <c r="I153" i="3"/>
  <c r="F152" i="23"/>
  <c r="B152" i="23"/>
  <c r="H153" i="4"/>
  <c r="I153" i="4"/>
  <c r="H145" i="39"/>
  <c r="I145" i="39"/>
  <c r="B153" i="22"/>
  <c r="F153" i="22"/>
  <c r="H152" i="25"/>
  <c r="I152" i="25"/>
  <c r="B149" i="28"/>
  <c r="F149" i="28"/>
  <c r="B151" i="24"/>
  <c r="F151" i="24"/>
  <c r="B149" i="31"/>
  <c r="F149" i="31"/>
  <c r="I144" i="40"/>
  <c r="H144" i="40"/>
  <c r="B154" i="5"/>
  <c r="F154" i="5"/>
  <c r="G154" i="5" s="1"/>
  <c r="B145" i="40"/>
  <c r="F145" i="40"/>
  <c r="H153" i="5"/>
  <c r="I153" i="5"/>
  <c r="B149" i="29"/>
  <c r="F149" i="29"/>
  <c r="H151" i="23"/>
  <c r="I151" i="23"/>
  <c r="H149" i="27"/>
  <c r="I149" i="27"/>
  <c r="I152" i="22"/>
  <c r="H152" i="22"/>
  <c r="J154" i="8"/>
  <c r="J155" i="8" s="1"/>
  <c r="I155" i="8"/>
  <c r="I148" i="28"/>
  <c r="H148" i="28"/>
  <c r="I150" i="24"/>
  <c r="H150" i="24"/>
  <c r="J154" i="6"/>
  <c r="J155" i="6" s="1"/>
  <c r="I155" i="6"/>
  <c r="B146" i="43"/>
  <c r="F146" i="43"/>
  <c r="H148" i="29"/>
  <c r="I148" i="29"/>
  <c r="B146" i="37"/>
  <c r="F146" i="37"/>
  <c r="B150" i="27"/>
  <c r="F150" i="27"/>
  <c r="B148" i="30"/>
  <c r="F148" i="30"/>
  <c r="I154" i="44" l="1"/>
  <c r="I155" i="44" s="1"/>
  <c r="D152" i="41"/>
  <c r="G151" i="41"/>
  <c r="E152" i="42"/>
  <c r="F152" i="42" s="1"/>
  <c r="B152" i="42"/>
  <c r="E153" i="38"/>
  <c r="F153" i="38" s="1"/>
  <c r="H151" i="42"/>
  <c r="I151" i="42"/>
  <c r="I152" i="38"/>
  <c r="H152" i="38"/>
  <c r="J153" i="4"/>
  <c r="J153" i="5"/>
  <c r="J153" i="3"/>
  <c r="J148" i="31"/>
  <c r="J148" i="29"/>
  <c r="D151" i="27"/>
  <c r="E151" i="27" s="1"/>
  <c r="G150" i="27"/>
  <c r="G148" i="30"/>
  <c r="D149" i="30"/>
  <c r="E149" i="30" s="1"/>
  <c r="G146" i="37"/>
  <c r="D147" i="37"/>
  <c r="E147" i="37" s="1"/>
  <c r="G146" i="43"/>
  <c r="D147" i="43"/>
  <c r="E147" i="43" s="1"/>
  <c r="J149" i="27"/>
  <c r="G149" i="29"/>
  <c r="D150" i="29"/>
  <c r="E150" i="29" s="1"/>
  <c r="G145" i="40"/>
  <c r="D146" i="40"/>
  <c r="E146" i="40" s="1"/>
  <c r="G151" i="24"/>
  <c r="D152" i="24"/>
  <c r="E152" i="24" s="1"/>
  <c r="J147" i="30"/>
  <c r="G153" i="25"/>
  <c r="D154" i="25"/>
  <c r="E154" i="25" s="1"/>
  <c r="E155" i="25" s="1"/>
  <c r="G146" i="39"/>
  <c r="D147" i="39"/>
  <c r="E147" i="39" s="1"/>
  <c r="D153" i="23"/>
  <c r="E153" i="23" s="1"/>
  <c r="G152" i="23"/>
  <c r="H154" i="5"/>
  <c r="H155" i="5" s="1"/>
  <c r="I154" i="5"/>
  <c r="G149" i="31"/>
  <c r="D150" i="31"/>
  <c r="E150" i="31" s="1"/>
  <c r="D150" i="28"/>
  <c r="E150" i="28" s="1"/>
  <c r="G149" i="28"/>
  <c r="G153" i="22"/>
  <c r="D154" i="22"/>
  <c r="E154" i="22" s="1"/>
  <c r="E155" i="22" s="1"/>
  <c r="H154" i="4"/>
  <c r="H155" i="4" s="1"/>
  <c r="I154" i="4"/>
  <c r="H154" i="3"/>
  <c r="H155" i="3" s="1"/>
  <c r="I154" i="3"/>
  <c r="J148" i="28"/>
  <c r="I151" i="41" l="1"/>
  <c r="H151" i="41"/>
  <c r="E152" i="41"/>
  <c r="F152" i="41" s="1"/>
  <c r="B152" i="41"/>
  <c r="D153" i="42"/>
  <c r="G152" i="42"/>
  <c r="G153" i="38"/>
  <c r="D154" i="38"/>
  <c r="B150" i="31"/>
  <c r="F150" i="31"/>
  <c r="F147" i="39"/>
  <c r="B147" i="39"/>
  <c r="I153" i="25"/>
  <c r="H153" i="25"/>
  <c r="I151" i="24"/>
  <c r="H151" i="24"/>
  <c r="B147" i="37"/>
  <c r="F147" i="37"/>
  <c r="I148" i="30"/>
  <c r="H148" i="30"/>
  <c r="I153" i="22"/>
  <c r="H153" i="22"/>
  <c r="J154" i="3"/>
  <c r="J155" i="3" s="1"/>
  <c r="I155" i="3"/>
  <c r="H149" i="28"/>
  <c r="I149" i="28"/>
  <c r="I149" i="31"/>
  <c r="H149" i="31"/>
  <c r="I152" i="23"/>
  <c r="H152" i="23"/>
  <c r="H146" i="39"/>
  <c r="I146" i="39"/>
  <c r="B150" i="29"/>
  <c r="F150" i="29"/>
  <c r="B147" i="43"/>
  <c r="F147" i="43"/>
  <c r="I146" i="37"/>
  <c r="H146" i="37"/>
  <c r="B154" i="22"/>
  <c r="F154" i="22"/>
  <c r="G154" i="22" s="1"/>
  <c r="B150" i="28"/>
  <c r="F150" i="28"/>
  <c r="J154" i="5"/>
  <c r="J155" i="5" s="1"/>
  <c r="I155" i="5"/>
  <c r="B153" i="23"/>
  <c r="F153" i="23"/>
  <c r="B146" i="40"/>
  <c r="F146" i="40"/>
  <c r="H149" i="29"/>
  <c r="I149" i="29"/>
  <c r="H146" i="43"/>
  <c r="I146" i="43"/>
  <c r="H150" i="27"/>
  <c r="I150" i="27"/>
  <c r="J154" i="4"/>
  <c r="J155" i="4" s="1"/>
  <c r="I155" i="4"/>
  <c r="B154" i="25"/>
  <c r="F154" i="25"/>
  <c r="G154" i="25" s="1"/>
  <c r="B152" i="24"/>
  <c r="F152" i="24"/>
  <c r="I145" i="40"/>
  <c r="H145" i="40"/>
  <c r="B149" i="30"/>
  <c r="F149" i="30"/>
  <c r="B151" i="27"/>
  <c r="F151" i="27"/>
  <c r="G152" i="41" l="1"/>
  <c r="D153" i="41"/>
  <c r="B153" i="41" s="1"/>
  <c r="E154" i="38"/>
  <c r="E155" i="38" s="1"/>
  <c r="B154" i="38"/>
  <c r="I153" i="38"/>
  <c r="H153" i="38"/>
  <c r="I152" i="42"/>
  <c r="H152" i="42"/>
  <c r="E153" i="42"/>
  <c r="F153" i="42" s="1"/>
  <c r="B153" i="42"/>
  <c r="J149" i="28"/>
  <c r="J149" i="31"/>
  <c r="G152" i="24"/>
  <c r="D153" i="24"/>
  <c r="E153" i="24" s="1"/>
  <c r="G146" i="40"/>
  <c r="D147" i="40"/>
  <c r="E147" i="40" s="1"/>
  <c r="H154" i="22"/>
  <c r="H155" i="22" s="1"/>
  <c r="I154" i="22"/>
  <c r="I155" i="22" s="1"/>
  <c r="G147" i="43"/>
  <c r="D148" i="43"/>
  <c r="E148" i="43" s="1"/>
  <c r="J148" i="30"/>
  <c r="G147" i="39"/>
  <c r="D148" i="39"/>
  <c r="E148" i="39" s="1"/>
  <c r="D152" i="27"/>
  <c r="E152" i="27" s="1"/>
  <c r="G151" i="27"/>
  <c r="I154" i="25"/>
  <c r="I155" i="25" s="1"/>
  <c r="H154" i="25"/>
  <c r="H155" i="25" s="1"/>
  <c r="J150" i="27"/>
  <c r="J149" i="29"/>
  <c r="G153" i="23"/>
  <c r="D154" i="23"/>
  <c r="G150" i="28"/>
  <c r="D151" i="28"/>
  <c r="E151" i="28" s="1"/>
  <c r="G150" i="29"/>
  <c r="D151" i="29"/>
  <c r="E151" i="29" s="1"/>
  <c r="G147" i="37"/>
  <c r="D148" i="37"/>
  <c r="E148" i="37" s="1"/>
  <c r="G150" i="31"/>
  <c r="D151" i="31"/>
  <c r="G149" i="30"/>
  <c r="D150" i="30"/>
  <c r="E150" i="30" s="1"/>
  <c r="E153" i="41" l="1"/>
  <c r="F153" i="41" s="1"/>
  <c r="D154" i="41" s="1"/>
  <c r="E154" i="41" s="1"/>
  <c r="E155" i="41" s="1"/>
  <c r="F154" i="38"/>
  <c r="G154" i="38" s="1"/>
  <c r="H154" i="38" s="1"/>
  <c r="H155" i="38" s="1"/>
  <c r="H152" i="41"/>
  <c r="I152" i="41"/>
  <c r="D154" i="42"/>
  <c r="G153" i="42"/>
  <c r="I147" i="37"/>
  <c r="H147" i="37"/>
  <c r="B154" i="23"/>
  <c r="B152" i="27"/>
  <c r="F152" i="27"/>
  <c r="I146" i="40"/>
  <c r="H146" i="40"/>
  <c r="H150" i="31"/>
  <c r="I150" i="31"/>
  <c r="B151" i="28"/>
  <c r="F151" i="28"/>
  <c r="H153" i="23"/>
  <c r="I153" i="23"/>
  <c r="B150" i="30"/>
  <c r="F150" i="30"/>
  <c r="H149" i="30"/>
  <c r="I149" i="30"/>
  <c r="H150" i="28"/>
  <c r="I150" i="28"/>
  <c r="B148" i="39"/>
  <c r="F148" i="39"/>
  <c r="B148" i="43"/>
  <c r="F148" i="43"/>
  <c r="B153" i="24"/>
  <c r="F153" i="24"/>
  <c r="B151" i="31"/>
  <c r="B151" i="29"/>
  <c r="F151" i="29"/>
  <c r="E151" i="31"/>
  <c r="F151" i="31" s="1"/>
  <c r="B148" i="37"/>
  <c r="F148" i="37"/>
  <c r="I150" i="29"/>
  <c r="H150" i="29"/>
  <c r="E154" i="23"/>
  <c r="E155" i="23" s="1"/>
  <c r="H151" i="27"/>
  <c r="I151" i="27"/>
  <c r="I147" i="39"/>
  <c r="H147" i="39"/>
  <c r="H147" i="43"/>
  <c r="I147" i="43"/>
  <c r="B147" i="40"/>
  <c r="F147" i="40"/>
  <c r="I152" i="24"/>
  <c r="H152" i="24"/>
  <c r="I154" i="38" l="1"/>
  <c r="I155" i="38" s="1"/>
  <c r="G153" i="41"/>
  <c r="F154" i="41"/>
  <c r="G154" i="41" s="1"/>
  <c r="H154" i="41" s="1"/>
  <c r="B154" i="41"/>
  <c r="I153" i="42"/>
  <c r="H153" i="42"/>
  <c r="I154" i="41"/>
  <c r="E154" i="42"/>
  <c r="E155" i="42" s="1"/>
  <c r="B154" i="42"/>
  <c r="J151" i="27"/>
  <c r="J149" i="30"/>
  <c r="J150" i="31"/>
  <c r="G151" i="31"/>
  <c r="D152" i="31"/>
  <c r="E152" i="31" s="1"/>
  <c r="G148" i="43"/>
  <c r="D149" i="43"/>
  <c r="E149" i="43" s="1"/>
  <c r="J150" i="28"/>
  <c r="G150" i="30"/>
  <c r="D151" i="30"/>
  <c r="E151" i="30" s="1"/>
  <c r="G151" i="28"/>
  <c r="D152" i="28"/>
  <c r="E152" i="28" s="1"/>
  <c r="F154" i="23"/>
  <c r="G154" i="23" s="1"/>
  <c r="G147" i="40"/>
  <c r="D148" i="40"/>
  <c r="E148" i="40" s="1"/>
  <c r="J150" i="29"/>
  <c r="G151" i="29"/>
  <c r="D152" i="29"/>
  <c r="E152" i="29" s="1"/>
  <c r="G153" i="24"/>
  <c r="D154" i="24"/>
  <c r="E154" i="24" s="1"/>
  <c r="E155" i="24" s="1"/>
  <c r="G148" i="39"/>
  <c r="D149" i="39"/>
  <c r="E149" i="39" s="1"/>
  <c r="G152" i="27"/>
  <c r="D153" i="27"/>
  <c r="G148" i="37"/>
  <c r="D149" i="37"/>
  <c r="E149" i="37" s="1"/>
  <c r="H153" i="41" l="1"/>
  <c r="H155" i="41" s="1"/>
  <c r="I153" i="41"/>
  <c r="I155" i="41" s="1"/>
  <c r="F154" i="42"/>
  <c r="G154" i="42" s="1"/>
  <c r="I154" i="42" s="1"/>
  <c r="I155" i="42" s="1"/>
  <c r="B153" i="27"/>
  <c r="H148" i="39"/>
  <c r="I148" i="39"/>
  <c r="I152" i="27"/>
  <c r="H152" i="27"/>
  <c r="F152" i="29"/>
  <c r="B152" i="29"/>
  <c r="B148" i="40"/>
  <c r="F148" i="40"/>
  <c r="B152" i="28"/>
  <c r="F152" i="28"/>
  <c r="H150" i="30"/>
  <c r="I150" i="30"/>
  <c r="H148" i="43"/>
  <c r="I148" i="43"/>
  <c r="E153" i="27"/>
  <c r="F153" i="27" s="1"/>
  <c r="B149" i="37"/>
  <c r="F149" i="37"/>
  <c r="H148" i="37"/>
  <c r="I148" i="37"/>
  <c r="B154" i="24"/>
  <c r="F154" i="24"/>
  <c r="G154" i="24" s="1"/>
  <c r="H151" i="29"/>
  <c r="I151" i="29"/>
  <c r="I147" i="40"/>
  <c r="H147" i="40"/>
  <c r="I151" i="28"/>
  <c r="H151" i="28"/>
  <c r="F149" i="39"/>
  <c r="B149" i="39"/>
  <c r="H153" i="24"/>
  <c r="I153" i="24"/>
  <c r="I154" i="23"/>
  <c r="I155" i="23" s="1"/>
  <c r="H154" i="23"/>
  <c r="H155" i="23" s="1"/>
  <c r="F152" i="31"/>
  <c r="B152" i="31"/>
  <c r="B151" i="30"/>
  <c r="F151" i="30"/>
  <c r="B149" i="43"/>
  <c r="F149" i="43"/>
  <c r="H151" i="31"/>
  <c r="I151" i="31"/>
  <c r="H154" i="42" l="1"/>
  <c r="H155" i="42" s="1"/>
  <c r="J151" i="29"/>
  <c r="J151" i="31"/>
  <c r="J150" i="30"/>
  <c r="G153" i="27"/>
  <c r="D154" i="27"/>
  <c r="E154" i="27" s="1"/>
  <c r="E155" i="27" s="1"/>
  <c r="G152" i="31"/>
  <c r="D153" i="31"/>
  <c r="E153" i="31" s="1"/>
  <c r="J151" i="28"/>
  <c r="G152" i="28"/>
  <c r="D153" i="28"/>
  <c r="E153" i="28" s="1"/>
  <c r="G151" i="30"/>
  <c r="D152" i="30"/>
  <c r="E152" i="30" s="1"/>
  <c r="I154" i="24"/>
  <c r="I155" i="24" s="1"/>
  <c r="H154" i="24"/>
  <c r="H155" i="24" s="1"/>
  <c r="G149" i="37"/>
  <c r="D150" i="37"/>
  <c r="E150" i="37" s="1"/>
  <c r="G152" i="29"/>
  <c r="D153" i="29"/>
  <c r="E153" i="29" s="1"/>
  <c r="G149" i="39"/>
  <c r="D150" i="39"/>
  <c r="E150" i="39" s="1"/>
  <c r="G148" i="40"/>
  <c r="D149" i="40"/>
  <c r="E149" i="40" s="1"/>
  <c r="G149" i="43"/>
  <c r="D150" i="43"/>
  <c r="E150" i="43" s="1"/>
  <c r="J152" i="27"/>
  <c r="H149" i="43" l="1"/>
  <c r="I149" i="43"/>
  <c r="B153" i="29"/>
  <c r="F153" i="29"/>
  <c r="I149" i="37"/>
  <c r="H149" i="37"/>
  <c r="B152" i="30"/>
  <c r="F152" i="30"/>
  <c r="H152" i="28"/>
  <c r="I152" i="28"/>
  <c r="H152" i="31"/>
  <c r="I152" i="31"/>
  <c r="B150" i="39"/>
  <c r="F150" i="39"/>
  <c r="H152" i="29"/>
  <c r="I152" i="29"/>
  <c r="H151" i="30"/>
  <c r="I151" i="30"/>
  <c r="B149" i="40"/>
  <c r="F149" i="40"/>
  <c r="H149" i="39"/>
  <c r="I149" i="39"/>
  <c r="B154" i="27"/>
  <c r="F154" i="27"/>
  <c r="G154" i="27" s="1"/>
  <c r="B150" i="43"/>
  <c r="F150" i="43"/>
  <c r="H148" i="40"/>
  <c r="I148" i="40"/>
  <c r="B150" i="37"/>
  <c r="F150" i="37"/>
  <c r="B153" i="28"/>
  <c r="F153" i="28"/>
  <c r="B153" i="31"/>
  <c r="F153" i="31"/>
  <c r="I153" i="27"/>
  <c r="H153" i="27"/>
  <c r="J152" i="28" l="1"/>
  <c r="J151" i="30"/>
  <c r="J153" i="27"/>
  <c r="G153" i="28"/>
  <c r="D154" i="28"/>
  <c r="E154" i="28" s="1"/>
  <c r="E155" i="28" s="1"/>
  <c r="H154" i="27"/>
  <c r="H155" i="27" s="1"/>
  <c r="I154" i="27"/>
  <c r="D150" i="40"/>
  <c r="E150" i="40" s="1"/>
  <c r="G149" i="40"/>
  <c r="J152" i="29"/>
  <c r="J152" i="31"/>
  <c r="G152" i="30"/>
  <c r="D153" i="30"/>
  <c r="G153" i="29"/>
  <c r="D154" i="29"/>
  <c r="E154" i="29" s="1"/>
  <c r="E155" i="29" s="1"/>
  <c r="G153" i="31"/>
  <c r="D154" i="31"/>
  <c r="E154" i="31" s="1"/>
  <c r="E155" i="31" s="1"/>
  <c r="G150" i="37"/>
  <c r="D151" i="37"/>
  <c r="E151" i="37" s="1"/>
  <c r="G150" i="43"/>
  <c r="D151" i="43"/>
  <c r="G150" i="39"/>
  <c r="D151" i="39"/>
  <c r="E151" i="39" s="1"/>
  <c r="B153" i="30" l="1"/>
  <c r="B151" i="39"/>
  <c r="F151" i="39"/>
  <c r="H150" i="43"/>
  <c r="I150" i="43"/>
  <c r="B154" i="29"/>
  <c r="F154" i="29"/>
  <c r="G154" i="29" s="1"/>
  <c r="I152" i="30"/>
  <c r="H152" i="30"/>
  <c r="H149" i="40"/>
  <c r="I149" i="40"/>
  <c r="B151" i="43"/>
  <c r="H150" i="37"/>
  <c r="I150" i="37"/>
  <c r="H150" i="39"/>
  <c r="I150" i="39"/>
  <c r="H153" i="29"/>
  <c r="I153" i="29"/>
  <c r="B150" i="40"/>
  <c r="F150" i="40"/>
  <c r="F154" i="28"/>
  <c r="G154" i="28" s="1"/>
  <c r="B154" i="28"/>
  <c r="B154" i="31"/>
  <c r="F154" i="31"/>
  <c r="G154" i="31" s="1"/>
  <c r="E151" i="43"/>
  <c r="F151" i="43" s="1"/>
  <c r="B151" i="37"/>
  <c r="F151" i="37"/>
  <c r="H153" i="31"/>
  <c r="I153" i="31"/>
  <c r="E153" i="30"/>
  <c r="F153" i="30" s="1"/>
  <c r="J154" i="27"/>
  <c r="J155" i="27" s="1"/>
  <c r="I155" i="27"/>
  <c r="H153" i="28"/>
  <c r="I153" i="28"/>
  <c r="J153" i="31" l="1"/>
  <c r="G153" i="30"/>
  <c r="D154" i="30"/>
  <c r="E154" i="30" s="1"/>
  <c r="E155" i="30" s="1"/>
  <c r="G151" i="43"/>
  <c r="D152" i="43"/>
  <c r="E152" i="43" s="1"/>
  <c r="J153" i="28"/>
  <c r="J153" i="29"/>
  <c r="H154" i="29"/>
  <c r="H155" i="29" s="1"/>
  <c r="I154" i="29"/>
  <c r="G151" i="39"/>
  <c r="D152" i="39"/>
  <c r="H154" i="28"/>
  <c r="H155" i="28" s="1"/>
  <c r="I154" i="28"/>
  <c r="H154" i="31"/>
  <c r="H155" i="31" s="1"/>
  <c r="I154" i="31"/>
  <c r="G150" i="40"/>
  <c r="D151" i="40"/>
  <c r="E151" i="40" s="1"/>
  <c r="G151" i="37"/>
  <c r="D152" i="37"/>
  <c r="E152" i="37" s="1"/>
  <c r="J152" i="30"/>
  <c r="B152" i="39" l="1"/>
  <c r="H151" i="43"/>
  <c r="I151" i="43"/>
  <c r="B151" i="40"/>
  <c r="F151" i="40"/>
  <c r="I151" i="39"/>
  <c r="H151" i="39"/>
  <c r="J154" i="29"/>
  <c r="J155" i="29" s="1"/>
  <c r="I155" i="29"/>
  <c r="B154" i="30"/>
  <c r="F154" i="30"/>
  <c r="G154" i="30" s="1"/>
  <c r="J154" i="28"/>
  <c r="J155" i="28" s="1"/>
  <c r="I155" i="28"/>
  <c r="B152" i="37"/>
  <c r="F152" i="37"/>
  <c r="I150" i="40"/>
  <c r="H150" i="40"/>
  <c r="H151" i="37"/>
  <c r="I151" i="37"/>
  <c r="J154" i="31"/>
  <c r="J155" i="31" s="1"/>
  <c r="I155" i="31"/>
  <c r="E152" i="39"/>
  <c r="F152" i="39" s="1"/>
  <c r="B152" i="43"/>
  <c r="F152" i="43"/>
  <c r="H153" i="30"/>
  <c r="I153" i="30"/>
  <c r="G152" i="37" l="1"/>
  <c r="D153" i="37"/>
  <c r="E153" i="37" s="1"/>
  <c r="H154" i="30"/>
  <c r="H155" i="30" s="1"/>
  <c r="I154" i="30"/>
  <c r="G152" i="43"/>
  <c r="D153" i="43"/>
  <c r="E153" i="43" s="1"/>
  <c r="J153" i="30"/>
  <c r="G151" i="40"/>
  <c r="D152" i="40"/>
  <c r="G152" i="39"/>
  <c r="D153" i="39"/>
  <c r="E153" i="39" s="1"/>
  <c r="B152" i="40" l="1"/>
  <c r="B153" i="43"/>
  <c r="F153" i="43"/>
  <c r="E152" i="40"/>
  <c r="F152" i="40" s="1"/>
  <c r="B153" i="37"/>
  <c r="F153" i="37"/>
  <c r="B153" i="39"/>
  <c r="F153" i="39"/>
  <c r="I151" i="40"/>
  <c r="H151" i="40"/>
  <c r="H152" i="43"/>
  <c r="I152" i="43"/>
  <c r="I152" i="39"/>
  <c r="H152" i="39"/>
  <c r="J154" i="30"/>
  <c r="J155" i="30" s="1"/>
  <c r="I155" i="30"/>
  <c r="I152" i="37"/>
  <c r="H152" i="37"/>
  <c r="D153" i="40" l="1"/>
  <c r="E153" i="40" s="1"/>
  <c r="G152" i="40"/>
  <c r="G153" i="43"/>
  <c r="D154" i="43"/>
  <c r="E154" i="43" s="1"/>
  <c r="E155" i="43" s="1"/>
  <c r="D154" i="37"/>
  <c r="E154" i="37" s="1"/>
  <c r="E155" i="37" s="1"/>
  <c r="G153" i="37"/>
  <c r="G153" i="39"/>
  <c r="D154" i="39"/>
  <c r="E154" i="39" s="1"/>
  <c r="E155" i="39" s="1"/>
  <c r="H153" i="37" l="1"/>
  <c r="I153" i="37"/>
  <c r="H153" i="43"/>
  <c r="I153" i="43"/>
  <c r="F154" i="37"/>
  <c r="G154" i="37" s="1"/>
  <c r="B154" i="37"/>
  <c r="B154" i="39"/>
  <c r="F154" i="39"/>
  <c r="G154" i="39" s="1"/>
  <c r="H153" i="39"/>
  <c r="I153" i="39"/>
  <c r="I152" i="40"/>
  <c r="H152" i="40"/>
  <c r="B154" i="43"/>
  <c r="F154" i="43"/>
  <c r="G154" i="43" s="1"/>
  <c r="F153" i="40"/>
  <c r="B153" i="40"/>
  <c r="H154" i="39" l="1"/>
  <c r="H155" i="39" s="1"/>
  <c r="I154" i="39"/>
  <c r="I155" i="39" s="1"/>
  <c r="G153" i="40"/>
  <c r="D154" i="40"/>
  <c r="I154" i="43"/>
  <c r="I155" i="43" s="1"/>
  <c r="H154" i="43"/>
  <c r="H155" i="43" s="1"/>
  <c r="H154" i="37"/>
  <c r="H155" i="37" s="1"/>
  <c r="I154" i="37"/>
  <c r="I155" i="37" s="1"/>
  <c r="B154" i="40" l="1"/>
  <c r="I153" i="40"/>
  <c r="H153" i="40"/>
  <c r="E154" i="40"/>
  <c r="E155" i="40" s="1"/>
  <c r="F154" i="40" l="1"/>
  <c r="G154" i="40" s="1"/>
  <c r="H154" i="40" s="1"/>
  <c r="H155" i="40" s="1"/>
  <c r="I154" i="40" l="1"/>
  <c r="I155" i="40" s="1"/>
  <c r="I48" i="17" l="1"/>
  <c r="K35" i="17" l="1"/>
  <c r="L35" i="17" s="1"/>
  <c r="V35" i="17" s="1"/>
  <c r="K21" i="17"/>
  <c r="L21" i="17" s="1"/>
  <c r="V21" i="17" s="1"/>
  <c r="K20" i="17"/>
  <c r="L20" i="17" s="1"/>
  <c r="V20" i="17" s="1"/>
  <c r="K27" i="17"/>
  <c r="L27" i="17" s="1"/>
  <c r="V27" i="17" s="1"/>
  <c r="K43" i="17"/>
  <c r="L43" i="17" s="1"/>
  <c r="V43" i="17" s="1"/>
  <c r="K22" i="17"/>
  <c r="L22" i="17" s="1"/>
  <c r="V22" i="17" s="1"/>
  <c r="K37" i="17"/>
  <c r="L37" i="17" s="1"/>
  <c r="V37" i="17" s="1"/>
  <c r="K30" i="17"/>
  <c r="L30" i="17" s="1"/>
  <c r="V30" i="17" s="1"/>
  <c r="K28" i="17"/>
  <c r="L28" i="17" s="1"/>
  <c r="V28" i="17" s="1"/>
  <c r="K19" i="17"/>
  <c r="L19" i="17" s="1"/>
  <c r="V19" i="17" s="1"/>
  <c r="K32" i="17"/>
  <c r="L32" i="17" s="1"/>
  <c r="V32" i="17" s="1"/>
  <c r="K38" i="17"/>
  <c r="L38" i="17" s="1"/>
  <c r="V38" i="17" s="1"/>
  <c r="K25" i="17"/>
  <c r="L25" i="17" s="1"/>
  <c r="V25" i="17" s="1"/>
  <c r="K33" i="17"/>
  <c r="L33" i="17" s="1"/>
  <c r="V33" i="17" s="1"/>
  <c r="K31" i="17"/>
  <c r="L31" i="17" s="1"/>
  <c r="V31" i="17" s="1"/>
  <c r="K40" i="17"/>
  <c r="L40" i="17" s="1"/>
  <c r="V40" i="17" s="1"/>
  <c r="K29" i="17"/>
  <c r="L29" i="17" s="1"/>
  <c r="V29" i="17" s="1"/>
  <c r="K18" i="17"/>
  <c r="L18" i="17" s="1"/>
  <c r="K34" i="17"/>
  <c r="L34" i="17" s="1"/>
  <c r="V34" i="17" s="1"/>
  <c r="K44" i="17"/>
  <c r="L44" i="17" s="1"/>
  <c r="V44" i="17" s="1"/>
  <c r="K24" i="17"/>
  <c r="L24" i="17" s="1"/>
  <c r="V24" i="17" s="1"/>
  <c r="K26" i="17"/>
  <c r="L26" i="17" s="1"/>
  <c r="V26" i="17" s="1"/>
  <c r="K36" i="17"/>
  <c r="L36" i="17" s="1"/>
  <c r="V36" i="17" s="1"/>
  <c r="K23" i="17"/>
  <c r="L23" i="17" s="1"/>
  <c r="V23" i="17" s="1"/>
  <c r="K41" i="17" l="1"/>
  <c r="L41" i="17" s="1"/>
  <c r="V41" i="17" s="1"/>
  <c r="K42" i="17"/>
  <c r="L42" i="17" s="1"/>
  <c r="V42" i="17" s="1"/>
  <c r="K39" i="17"/>
  <c r="L39" i="17" s="1"/>
  <c r="V39" i="17" s="1"/>
  <c r="K48" i="17"/>
  <c r="V18" i="17"/>
  <c r="L47" i="17" l="1"/>
  <c r="V47" i="17"/>
  <c r="Q44" i="17" l="1"/>
  <c r="R44" i="17" s="1"/>
  <c r="T44" i="17" s="1"/>
  <c r="Q36" i="17"/>
  <c r="R36" i="17" s="1"/>
  <c r="T36" i="17" s="1"/>
  <c r="Q32" i="17"/>
  <c r="R32" i="17" s="1"/>
  <c r="T32" i="17" s="1"/>
  <c r="Q31" i="17"/>
  <c r="R31" i="17" s="1"/>
  <c r="T31" i="17" s="1"/>
  <c r="Q27" i="17"/>
  <c r="R27" i="17" s="1"/>
  <c r="T27" i="17" s="1"/>
  <c r="Q42" i="17"/>
  <c r="R42" i="17" s="1"/>
  <c r="T42" i="17" s="1"/>
  <c r="Q18" i="17"/>
  <c r="R18" i="17" s="1"/>
  <c r="Q34" i="17"/>
  <c r="R34" i="17" s="1"/>
  <c r="T34" i="17" s="1"/>
  <c r="Q19" i="17"/>
  <c r="R19" i="17" s="1"/>
  <c r="T19" i="17" s="1"/>
  <c r="Q43" i="17"/>
  <c r="R43" i="17" s="1"/>
  <c r="T43" i="17" s="1"/>
  <c r="Q30" i="17"/>
  <c r="R30" i="17" s="1"/>
  <c r="T30" i="17" s="1"/>
  <c r="Q39" i="17"/>
  <c r="R39" i="17" s="1"/>
  <c r="T39" i="17" s="1"/>
  <c r="Q24" i="17"/>
  <c r="R24" i="17" s="1"/>
  <c r="T24" i="17" s="1"/>
  <c r="Q40" i="17"/>
  <c r="R40" i="17" s="1"/>
  <c r="T40" i="17" s="1"/>
  <c r="Q22" i="17"/>
  <c r="R22" i="17" s="1"/>
  <c r="T22" i="17" s="1"/>
  <c r="Q33" i="17"/>
  <c r="R33" i="17" s="1"/>
  <c r="T33" i="17" s="1"/>
  <c r="Q29" i="17"/>
  <c r="R29" i="17" s="1"/>
  <c r="T29" i="17" s="1"/>
  <c r="Q41" i="17"/>
  <c r="R41" i="17" s="1"/>
  <c r="T41" i="17" s="1"/>
  <c r="Q25" i="17"/>
  <c r="R25" i="17" s="1"/>
  <c r="T25" i="17" s="1"/>
  <c r="Q28" i="17"/>
  <c r="R28" i="17" s="1"/>
  <c r="T28" i="17" s="1"/>
  <c r="Q35" i="17"/>
  <c r="R35" i="17" s="1"/>
  <c r="T35" i="17" s="1"/>
  <c r="Q20" i="17"/>
  <c r="R20" i="17" s="1"/>
  <c r="T20" i="17" s="1"/>
  <c r="Q26" i="17"/>
  <c r="R26" i="17" s="1"/>
  <c r="T26" i="17" s="1"/>
  <c r="Q38" i="17"/>
  <c r="R38" i="17" s="1"/>
  <c r="T38" i="17" s="1"/>
  <c r="Q21" i="17"/>
  <c r="R21" i="17" s="1"/>
  <c r="T21" i="17" s="1"/>
  <c r="Q37" i="17"/>
  <c r="R37" i="17" s="1"/>
  <c r="T37" i="17" s="1"/>
  <c r="Q23" i="17"/>
  <c r="R23" i="17" s="1"/>
  <c r="T23" i="17" s="1"/>
  <c r="Q48" i="17"/>
  <c r="T18" i="17" l="1"/>
  <c r="T47" i="17" s="1"/>
  <c r="R47" i="17"/>
</calcChain>
</file>

<file path=xl/comments1.xml><?xml version="1.0" encoding="utf-8"?>
<comments xmlns="http://schemas.openxmlformats.org/spreadsheetml/2006/main">
  <authors>
    <author>R.Pennybaker</author>
    <author>AEP</author>
    <author>rlp</author>
    <author>S177040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47" authorId="3" shapeId="0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<sst xmlns="http://schemas.openxmlformats.org/spreadsheetml/2006/main" count="3685" uniqueCount="352">
  <si>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</si>
  <si>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</si>
  <si>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</si>
  <si>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</si>
  <si>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</si>
  <si>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</si>
  <si>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</si>
  <si>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</si>
  <si>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</si>
  <si>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</si>
  <si>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</si>
  <si>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</si>
  <si>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</si>
  <si>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</si>
  <si>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</si>
  <si>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</si>
  <si>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</si>
  <si>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</si>
  <si>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</si>
  <si>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</si>
  <si>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</si>
  <si>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</si>
  <si>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</si>
  <si>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</si>
  <si>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</si>
  <si>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</si>
  <si>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</si>
  <si>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</si>
  <si>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</si>
  <si>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</si>
  <si>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</si>
  <si>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</si>
  <si>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</si>
  <si>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</si>
  <si>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</si>
  <si>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</si>
  <si>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</si>
  <si>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</si>
  <si>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</si>
  <si>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</si>
  <si>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</si>
  <si>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</si>
  <si>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</si>
  <si>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</si>
  <si>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</si>
  <si>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</si>
  <si>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</si>
  <si>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</si>
  <si>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</si>
  <si>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</si>
  <si>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</si>
  <si>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</si>
  <si>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</si>
  <si>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</si>
  <si>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</si>
  <si>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</si>
  <si>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</si>
  <si>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</si>
  <si>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</si>
  <si>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</si>
  <si>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</si>
  <si>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</si>
  <si>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</si>
  <si>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</si>
  <si>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</si>
  <si>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</si>
  <si>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</si>
  <si>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</si>
  <si>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</si>
  <si>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</si>
  <si>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</si>
  <si>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</si>
  <si>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</si>
  <si>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</si>
  <si>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</si>
  <si>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</si>
  <si>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</si>
  <si>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</si>
  <si>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</si>
  <si>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</si>
  <si>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</si>
  <si>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</si>
  <si>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</si>
  <si>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</si>
  <si>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</si>
  <si>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</si>
  <si>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</si>
  <si>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</si>
  <si>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</si>
  <si>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</si>
  <si>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</si>
  <si>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</si>
  <si>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</si>
  <si>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</si>
  <si>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</si>
  <si>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</si>
  <si>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</si>
  <si>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</si>
  <si>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</si>
  <si>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</si>
  <si>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</si>
  <si>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</si>
  <si>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</si>
  <si>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</si>
  <si>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</si>
  <si>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</si>
  <si>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</si>
  <si>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</si>
  <si>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</si>
  <si>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</si>
  <si>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</si>
  <si>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</si>
  <si>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</si>
  <si>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</si>
  <si>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</si>
  <si>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</si>
  <si>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</si>
  <si>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</si>
  <si>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</si>
  <si>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</si>
  <si>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</si>
  <si>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</si>
  <si>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</si>
  <si>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</si>
  <si>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</si>
  <si>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</si>
  <si>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</si>
  <si>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</si>
  <si>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</si>
  <si>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</si>
  <si>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</si>
  <si>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</si>
  <si>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</si>
  <si>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</si>
  <si>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</si>
  <si>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</si>
  <si>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</si>
  <si>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</si>
  <si>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</si>
  <si>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</si>
  <si>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</si>
  <si>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</si>
  <si>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</si>
  <si>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</si>
  <si>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</si>
  <si>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</si>
  <si>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</si>
  <si>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</si>
  <si>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</si>
  <si>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</si>
  <si>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</si>
  <si>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</si>
  <si>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</si>
  <si>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</si>
  <si>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</si>
  <si>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</si>
  <si>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</si>
  <si>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</si>
  <si>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</si>
  <si>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</si>
  <si>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</si>
  <si>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</si>
  <si>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</si>
  <si>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</si>
  <si>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</si>
  <si>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</si>
  <si>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</si>
  <si>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</si>
  <si>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</si>
  <si>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</si>
  <si>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</si>
  <si>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</si>
  <si>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</si>
  <si>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</si>
  <si>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</si>
  <si>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</si>
  <si>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</si>
  <si>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</si>
  <si>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</si>
  <si>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</si>
  <si>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</si>
  <si>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</si>
  <si>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</si>
  <si>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</si>
  <si>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</si>
  <si>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</si>
  <si>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</si>
  <si>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</si>
  <si>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</si>
  <si>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</si>
  <si>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</si>
  <si>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</si>
  <si>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</si>
  <si>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</si>
  <si>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</si>
  <si>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</si>
  <si>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</si>
  <si>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</si>
  <si>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</si>
  <si>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</si>
  <si>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</si>
  <si>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</si>
  <si>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</si>
  <si>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</si>
  <si>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</si>
  <si>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</si>
  <si>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</si>
  <si>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</si>
  <si>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</si>
  <si>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</si>
  <si>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</si>
  <si>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</si>
  <si>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</si>
  <si>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</si>
  <si>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</si>
  <si>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</si>
  <si>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</si>
  <si>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</si>
  <si>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</si>
  <si>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</si>
  <si>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</si>
  <si>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</si>
  <si>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</si>
  <si>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</si>
  <si>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</si>
  <si>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</si>
  <si>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</si>
  <si>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</si>
  <si>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</si>
  <si>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</si>
  <si>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</si>
  <si>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</si>
  <si>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</si>
  <si>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</si>
  <si>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</si>
  <si>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</si>
  <si>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</si>
  <si>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</si>
  <si>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</si>
  <si>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</si>
  <si>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</si>
  <si>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</si>
  <si>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</si>
  <si>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</si>
  <si>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</si>
  <si>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</si>
  <si>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</si>
  <si>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</si>
  <si>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</si>
  <si>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</si>
  <si>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</si>
  <si>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</si>
  <si>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</si>
  <si>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</si>
  <si>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</si>
  <si>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</si>
  <si>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</si>
  <si>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</si>
  <si>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</si>
  <si>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</si>
  <si>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</si>
  <si>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</si>
  <si>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</si>
  <si>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</si>
  <si>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</si>
  <si>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</si>
  <si>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</si>
  <si>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</si>
  <si>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</si>
  <si>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</si>
  <si>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</si>
  <si>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</si>
  <si>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</si>
  <si>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</si>
  <si>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</si>
  <si>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</si>
  <si>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</si>
  <si>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</si>
  <si>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</si>
  <si>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</si>
  <si>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</si>
  <si>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</si>
  <si>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</si>
  <si>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</si>
  <si>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</si>
  <si>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</si>
  <si>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</si>
  <si>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</si>
  <si>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</si>
  <si>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</si>
  <si>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 xml:space="preserve">   FCR less Depreciation  (Projected TCOS, ln 12)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</si>
  <si>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</si>
  <si>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</si>
  <si>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</si>
  <si>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</si>
  <si>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</si>
  <si>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</si>
  <si>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</si>
  <si>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</si>
  <si>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</si>
  <si>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</si>
  <si>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</si>
  <si>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</si>
  <si>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</si>
  <si>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</si>
  <si>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</si>
  <si>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</si>
  <si>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</si>
  <si>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</si>
  <si>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</si>
  <si>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</si>
  <si>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</si>
  <si>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Transmission Plant Average Balance for 2017 </t>
  </si>
  <si>
    <t xml:space="preserve">   ROE w/o incentives  (Projected TCOS, ln 148)</t>
  </si>
  <si>
    <t>Annual Depreciation Expense  (Historic TCOS, ln 244)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</si>
  <si>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</si>
  <si>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</si>
  <si>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</si>
  <si>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</si>
  <si>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</si>
  <si>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</si>
  <si>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</si>
  <si>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</si>
  <si>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</si>
  <si>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</si>
  <si>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</si>
  <si>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</si>
  <si>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</si>
  <si>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</si>
  <si>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</si>
  <si>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>21% &amp; 11.2 ROE</t>
  </si>
  <si>
    <t>35% &amp; 11.2 ROE</t>
  </si>
  <si>
    <t>E - F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</si>
  <si>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</si>
  <si>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</si>
  <si>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</si>
  <si>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</si>
  <si>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</si>
  <si>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</si>
  <si>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</si>
  <si>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</si>
  <si>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</si>
  <si>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</si>
  <si>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</si>
  <si>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>True-Up ARR CY 2019 From Worksheet G  (includes adjustment for SPP Collections)</t>
  </si>
  <si>
    <t>P.026</t>
  </si>
  <si>
    <t>P.027</t>
  </si>
  <si>
    <t>Tulsa Southeast - E. 61st St 138 kV Rebuild</t>
  </si>
  <si>
    <t>Broken Arrow North-Lynn Lane East 138 kV</t>
  </si>
  <si>
    <t>TP2015118</t>
  </si>
  <si>
    <t>TP2017011</t>
  </si>
  <si>
    <t>TP2017016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</si>
</sst>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</numFmts>
  <fonts count="122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4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64" fillId="27" borderId="0" xfId="117" applyNumberFormat="1" applyFont="1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1" xfId="0" applyNumberFormat="1" applyFont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170" fontId="7" fillId="0" borderId="24" xfId="0" applyNumberFormat="1" applyFont="1" applyBorder="1" applyProtection="1"/>
    <xf numFmtId="171" fontId="54" fillId="27" borderId="24" xfId="0" applyNumberFormat="1" applyFont="1" applyFill="1" applyBorder="1" applyProtection="1"/>
    <xf numFmtId="170" fontId="7" fillId="0" borderId="24" xfId="117" applyNumberFormat="1" applyFont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1 2 2" xfId="39"/>
    <cellStyle name="60% - Accent2" xfId="40" builtinId="36" customBuiltin="1"/>
    <cellStyle name="60% - Accent2 2" xfId="41"/>
    <cellStyle name="60% - Accent2 2 2" xfId="42"/>
    <cellStyle name="60% - Accent3" xfId="43" builtinId="40" customBuiltin="1"/>
    <cellStyle name="60% - Accent3 2" xfId="44"/>
    <cellStyle name="60% - Accent3 2 2" xfId="45"/>
    <cellStyle name="60% - Accent4" xfId="46" builtinId="44" customBuiltin="1"/>
    <cellStyle name="60% - Accent4 2" xfId="47"/>
    <cellStyle name="60% - Accent4 2 2" xfId="48"/>
    <cellStyle name="60% - Accent5" xfId="49" builtinId="48" customBuiltin="1"/>
    <cellStyle name="60% - Accent5 2" xfId="50"/>
    <cellStyle name="60% - Accent5 2 2" xfId="51"/>
    <cellStyle name="60% - Accent6" xfId="52" builtinId="52" customBuiltin="1"/>
    <cellStyle name="60% - Accent6 2" xfId="53"/>
    <cellStyle name="60% - Accent6 2 2" xfId="54"/>
    <cellStyle name="Accent1" xfId="55" builtinId="29" customBuiltin="1"/>
    <cellStyle name="Accent1 2" xfId="56"/>
    <cellStyle name="Accent1 2 2" xfId="57"/>
    <cellStyle name="Accent2" xfId="58" builtinId="33" customBuiltin="1"/>
    <cellStyle name="Accent2 2" xfId="59"/>
    <cellStyle name="Accent2 2 2" xfId="60"/>
    <cellStyle name="Accent3" xfId="61" builtinId="37" customBuiltin="1"/>
    <cellStyle name="Accent3 2" xfId="62"/>
    <cellStyle name="Accent3 2 2" xfId="63"/>
    <cellStyle name="Accent4" xfId="64" builtinId="41" customBuiltin="1"/>
    <cellStyle name="Accent4 2" xfId="65"/>
    <cellStyle name="Accent4 2 2" xfId="66"/>
    <cellStyle name="Accent5" xfId="67" builtinId="45" customBuiltin="1"/>
    <cellStyle name="Accent5 2" xfId="68"/>
    <cellStyle name="Accent5 2 2" xfId="69"/>
    <cellStyle name="Accent6" xfId="70" builtinId="49" customBuiltin="1"/>
    <cellStyle name="Accent6 2" xfId="71"/>
    <cellStyle name="Accent6 2 2" xfId="72"/>
    <cellStyle name="Bad" xfId="73" builtinId="27" customBuiltin="1"/>
    <cellStyle name="Bad 2" xfId="74"/>
    <cellStyle name="Bad 2 2" xfId="75"/>
    <cellStyle name="C00A" xfId="76"/>
    <cellStyle name="C00B" xfId="77"/>
    <cellStyle name="C00L" xfId="78"/>
    <cellStyle name="C01A" xfId="79"/>
    <cellStyle name="C01B" xfId="80"/>
    <cellStyle name="C01B 2" xfId="81"/>
    <cellStyle name="C01H" xfId="82"/>
    <cellStyle name="C01L" xfId="83"/>
    <cellStyle name="C02A" xfId="84"/>
    <cellStyle name="C02B" xfId="85"/>
    <cellStyle name="C02B 2" xfId="86"/>
    <cellStyle name="C02H" xfId="87"/>
    <cellStyle name="C02L" xfId="88"/>
    <cellStyle name="C03A" xfId="89"/>
    <cellStyle name="C03B" xfId="90"/>
    <cellStyle name="C03H" xfId="91"/>
    <cellStyle name="C03L" xfId="92"/>
    <cellStyle name="C04A" xfId="93"/>
    <cellStyle name="C04A 2" xfId="94"/>
    <cellStyle name="C04B" xfId="95"/>
    <cellStyle name="C04H" xfId="96"/>
    <cellStyle name="C04L" xfId="97"/>
    <cellStyle name="C05A" xfId="98"/>
    <cellStyle name="C05B" xfId="99"/>
    <cellStyle name="C05H" xfId="100"/>
    <cellStyle name="C05L" xfId="101"/>
    <cellStyle name="C05L 2" xfId="102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alculation" xfId="111" builtinId="22" customBuiltin="1"/>
    <cellStyle name="Calculation 2" xfId="112"/>
    <cellStyle name="Calculation 2 2" xfId="113"/>
    <cellStyle name="Check Cell" xfId="114" builtinId="23" customBuiltin="1"/>
    <cellStyle name="Check Cell 2" xfId="115"/>
    <cellStyle name="Check Cell 2 2" xfId="116"/>
    <cellStyle name="Comma" xfId="117" builtinId="3"/>
    <cellStyle name="Comma [0] 2" xfId="118"/>
    <cellStyle name="Comma [0] 2 2" xfId="119"/>
    <cellStyle name="Comma 10" xfId="120"/>
    <cellStyle name="Comma 11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 2 2" xfId="132"/>
    <cellStyle name="Comma 2 3" xfId="133"/>
    <cellStyle name="Comma 2 3 2" xfId="134"/>
    <cellStyle name="Comma 2 3 3" xfId="135"/>
    <cellStyle name="Comma 2 3 4" xfId="136"/>
    <cellStyle name="Comma 2 4" xfId="137"/>
    <cellStyle name="Comma 20" xfId="138"/>
    <cellStyle name="Comma 21" xfId="139"/>
    <cellStyle name="Comma 22" xfId="140"/>
    <cellStyle name="Comma 23" xfId="141"/>
    <cellStyle name="Comma 24" xfId="142"/>
    <cellStyle name="Comma 25" xfId="143"/>
    <cellStyle name="Comma 25 2" xfId="144"/>
    <cellStyle name="Comma 26" xfId="145"/>
    <cellStyle name="Comma 26 2" xfId="146"/>
    <cellStyle name="Comma 27" xfId="147"/>
    <cellStyle name="Comma 27 2" xfId="148"/>
    <cellStyle name="Comma 28" xfId="149"/>
    <cellStyle name="Comma 28 2" xfId="150"/>
    <cellStyle name="Comma 29" xfId="151"/>
    <cellStyle name="Comma 29 2" xfId="152"/>
    <cellStyle name="Comma 3" xfId="153"/>
    <cellStyle name="Comma 3 2" xfId="154"/>
    <cellStyle name="Comma 3 2 2" xfId="155"/>
    <cellStyle name="Comma 3 3" xfId="156"/>
    <cellStyle name="Comma 3 3 2" xfId="157"/>
    <cellStyle name="Comma 3 3 2 2" xfId="158"/>
    <cellStyle name="Comma 3 3 2 3" xfId="159"/>
    <cellStyle name="Comma 3 3 3" xfId="160"/>
    <cellStyle name="Comma 3 3 3 2" xfId="161"/>
    <cellStyle name="Comma 3 3 3 2 2" xfId="162"/>
    <cellStyle name="Comma 3 3 3 2 3" xfId="163"/>
    <cellStyle name="Comma 3 3 3 2 4" xfId="164"/>
    <cellStyle name="Comma 3 3 3 3" xfId="165"/>
    <cellStyle name="Comma 3 3 4" xfId="166"/>
    <cellStyle name="Comma 3 3 5" xfId="167"/>
    <cellStyle name="Comma 3 3 5 2" xfId="168"/>
    <cellStyle name="Comma 3 3 5 3" xfId="169"/>
    <cellStyle name="Comma 3 3 5 4" xfId="170"/>
    <cellStyle name="Comma 3 4" xfId="171"/>
    <cellStyle name="Comma 3 4 2" xfId="172"/>
    <cellStyle name="Comma 3 4 3" xfId="173"/>
    <cellStyle name="Comma 3 4 4" xfId="174"/>
    <cellStyle name="Comma 3 4 4 2" xfId="175"/>
    <cellStyle name="Comma 3 4 4 3" xfId="176"/>
    <cellStyle name="Comma 3 4 4 4" xfId="177"/>
    <cellStyle name="Comma 3 4 5" xfId="178"/>
    <cellStyle name="Comma 3 5" xfId="179"/>
    <cellStyle name="Comma 3 5 2" xfId="180"/>
    <cellStyle name="Comma 3 6" xfId="181"/>
    <cellStyle name="Comma 3 7" xfId="182"/>
    <cellStyle name="Comma 3 8" xfId="183"/>
    <cellStyle name="Comma 30" xfId="184"/>
    <cellStyle name="Comma 31" xfId="185"/>
    <cellStyle name="Comma 32" xfId="186"/>
    <cellStyle name="Comma 33" xfId="187"/>
    <cellStyle name="Comma 34" xfId="188"/>
    <cellStyle name="Comma 35" xfId="189"/>
    <cellStyle name="Comma 36" xfId="190"/>
    <cellStyle name="Comma 37" xfId="191"/>
    <cellStyle name="Comma 38" xfId="192"/>
    <cellStyle name="Comma 39" xfId="193"/>
    <cellStyle name="Comma 4" xfId="194"/>
    <cellStyle name="Comma 4 2" xfId="195"/>
    <cellStyle name="Comma 4 2 2" xfId="196"/>
    <cellStyle name="Comma 4 2 2 2" xfId="197"/>
    <cellStyle name="Comma 4 2 2 3" xfId="198"/>
    <cellStyle name="Comma 4 2 2 4" xfId="199"/>
    <cellStyle name="Comma 4 2 3" xfId="200"/>
    <cellStyle name="Comma 4 2 3 2" xfId="201"/>
    <cellStyle name="Comma 4 2 3 2 2" xfId="202"/>
    <cellStyle name="Comma 4 2 3 3" xfId="203"/>
    <cellStyle name="Comma 4 2 3 3 2" xfId="204"/>
    <cellStyle name="Comma 4 2 3 4" xfId="205"/>
    <cellStyle name="Comma 4 2 4" xfId="206"/>
    <cellStyle name="Comma 4 2 4 2" xfId="207"/>
    <cellStyle name="Comma 4 2 4 3" xfId="208"/>
    <cellStyle name="Comma 4 2 4 4" xfId="209"/>
    <cellStyle name="Comma 4 2 5" xfId="210"/>
    <cellStyle name="Comma 4 3" xfId="211"/>
    <cellStyle name="Comma 4 3 2" xfId="212"/>
    <cellStyle name="Comma 4 3 2 2" xfId="213"/>
    <cellStyle name="Comma 4 3 2 2 2" xfId="214"/>
    <cellStyle name="Comma 4 3 2 3" xfId="215"/>
    <cellStyle name="Comma 4 3 2 3 2" xfId="216"/>
    <cellStyle name="Comma 4 3 2 4" xfId="217"/>
    <cellStyle name="Comma 4 3 3" xfId="218"/>
    <cellStyle name="Comma 4 3 4" xfId="219"/>
    <cellStyle name="Comma 4 3 4 2" xfId="220"/>
    <cellStyle name="Comma 4 3 4 3" xfId="221"/>
    <cellStyle name="Comma 4 3 5" xfId="222"/>
    <cellStyle name="Comma 4 3 5 2" xfId="223"/>
    <cellStyle name="Comma 4 3 6" xfId="224"/>
    <cellStyle name="Comma 4 3 6 2" xfId="225"/>
    <cellStyle name="Comma 4 4" xfId="226"/>
    <cellStyle name="Comma 4 4 2" xfId="227"/>
    <cellStyle name="Comma 4 4 3" xfId="228"/>
    <cellStyle name="Comma 4 4 4" xfId="229"/>
    <cellStyle name="Comma 4 5" xfId="230"/>
    <cellStyle name="Comma 4 5 2" xfId="231"/>
    <cellStyle name="Comma 4 6" xfId="232"/>
    <cellStyle name="Comma 40" xfId="233"/>
    <cellStyle name="Comma 41" xfId="234"/>
    <cellStyle name="Comma 42" xfId="235"/>
    <cellStyle name="Comma 43" xfId="236"/>
    <cellStyle name="Comma 44" xfId="237"/>
    <cellStyle name="Comma 45" xfId="238"/>
    <cellStyle name="Comma 46" xfId="239"/>
    <cellStyle name="Comma 47" xfId="240"/>
    <cellStyle name="Comma 48" xfId="241"/>
    <cellStyle name="Comma 49" xfId="242"/>
    <cellStyle name="Comma 5" xfId="243"/>
    <cellStyle name="Comma 5 2" xfId="244"/>
    <cellStyle name="Comma 5 2 2" xfId="245"/>
    <cellStyle name="Comma 5 2 3" xfId="246"/>
    <cellStyle name="Comma 5 3" xfId="247"/>
    <cellStyle name="Comma 50" xfId="248"/>
    <cellStyle name="Comma 51" xfId="249"/>
    <cellStyle name="Comma 52" xfId="250"/>
    <cellStyle name="Comma 52 2" xfId="251"/>
    <cellStyle name="Comma 53" xfId="252"/>
    <cellStyle name="Comma 54" xfId="253"/>
    <cellStyle name="Comma 55" xfId="254"/>
    <cellStyle name="Comma 56" xfId="255"/>
    <cellStyle name="Comma 57" xfId="256"/>
    <cellStyle name="Comma 57 2" xfId="257"/>
    <cellStyle name="Comma 57 3" xfId="258"/>
    <cellStyle name="Comma 57 4" xfId="259"/>
    <cellStyle name="Comma 58" xfId="260"/>
    <cellStyle name="Comma 58 2" xfId="261"/>
    <cellStyle name="Comma 58 3" xfId="262"/>
    <cellStyle name="Comma 58 4" xfId="263"/>
    <cellStyle name="Comma 59" xfId="264"/>
    <cellStyle name="Comma 59 2" xfId="265"/>
    <cellStyle name="Comma 59 3" xfId="266"/>
    <cellStyle name="Comma 59 4" xfId="267"/>
    <cellStyle name="Comma 6" xfId="268"/>
    <cellStyle name="Comma 6 2" xfId="269"/>
    <cellStyle name="Comma 6 3" xfId="270"/>
    <cellStyle name="Comma 6 4" xfId="271"/>
    <cellStyle name="Comma 6 4 2" xfId="272"/>
    <cellStyle name="Comma 6 4 3" xfId="273"/>
    <cellStyle name="Comma 6 4 4" xfId="274"/>
    <cellStyle name="Comma 6 5" xfId="275"/>
    <cellStyle name="Comma 60" xfId="276"/>
    <cellStyle name="Comma 60 2" xfId="277"/>
    <cellStyle name="Comma 60 3" xfId="278"/>
    <cellStyle name="Comma 60 4" xfId="279"/>
    <cellStyle name="Comma 61" xfId="280"/>
    <cellStyle name="Comma 61 2" xfId="281"/>
    <cellStyle name="Comma 61 3" xfId="282"/>
    <cellStyle name="Comma 61 4" xfId="283"/>
    <cellStyle name="Comma 62" xfId="284"/>
    <cellStyle name="Comma 62 2" xfId="285"/>
    <cellStyle name="Comma 62 3" xfId="286"/>
    <cellStyle name="Comma 63" xfId="287"/>
    <cellStyle name="Comma 63 2" xfId="288"/>
    <cellStyle name="Comma 63 3" xfId="289"/>
    <cellStyle name="Comma 64" xfId="290"/>
    <cellStyle name="Comma 64 2" xfId="291"/>
    <cellStyle name="Comma 64 3" xfId="292"/>
    <cellStyle name="Comma 65" xfId="293"/>
    <cellStyle name="Comma 65 2" xfId="294"/>
    <cellStyle name="Comma 65 3" xfId="295"/>
    <cellStyle name="Comma 66" xfId="296"/>
    <cellStyle name="Comma 66 2" xfId="297"/>
    <cellStyle name="Comma 66 3" xfId="298"/>
    <cellStyle name="Comma 67" xfId="299"/>
    <cellStyle name="Comma 67 2" xfId="300"/>
    <cellStyle name="Comma 67 3" xfId="301"/>
    <cellStyle name="Comma 68" xfId="302"/>
    <cellStyle name="Comma 68 2" xfId="303"/>
    <cellStyle name="Comma 68 3" xfId="304"/>
    <cellStyle name="Comma 69" xfId="305"/>
    <cellStyle name="Comma 69 2" xfId="306"/>
    <cellStyle name="Comma 7" xfId="307"/>
    <cellStyle name="Comma 7 2" xfId="308"/>
    <cellStyle name="Comma 70" xfId="309"/>
    <cellStyle name="Comma 70 2" xfId="310"/>
    <cellStyle name="Comma 71" xfId="311"/>
    <cellStyle name="Comma 71 2" xfId="312"/>
    <cellStyle name="Comma 72" xfId="313"/>
    <cellStyle name="Comma 73" xfId="314"/>
    <cellStyle name="Comma 74" xfId="315"/>
    <cellStyle name="Comma 75" xfId="316"/>
    <cellStyle name="Comma 76" xfId="317"/>
    <cellStyle name="Comma 8" xfId="318"/>
    <cellStyle name="Comma 9" xfId="319"/>
    <cellStyle name="Comma0" xfId="320"/>
    <cellStyle name="Comma0 2" xfId="321"/>
    <cellStyle name="Comma0 2 2" xfId="322"/>
    <cellStyle name="Comma0 2 3" xfId="323"/>
    <cellStyle name="Comma0 2 4" xfId="324"/>
    <cellStyle name="Comma0 2 5" xfId="325"/>
    <cellStyle name="Comma0 3" xfId="326"/>
    <cellStyle name="Currency" xfId="327" builtinId="4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 3 2 2" xfId="334"/>
    <cellStyle name="Currency 3 3" xfId="335"/>
    <cellStyle name="Currency 3 3 2" xfId="336"/>
    <cellStyle name="Currency 3 3 2 2" xfId="337"/>
    <cellStyle name="Currency 3 3 2 3" xfId="338"/>
    <cellStyle name="Currency 3 3 3" xfId="339"/>
    <cellStyle name="Currency 3 3 3 2" xfId="340"/>
    <cellStyle name="Currency 3 3 3 2 2" xfId="341"/>
    <cellStyle name="Currency 3 3 3 2 3" xfId="342"/>
    <cellStyle name="Currency 3 3 3 2 4" xfId="343"/>
    <cellStyle name="Currency 3 3 3 3" xfId="344"/>
    <cellStyle name="Currency 3 3 4" xfId="345"/>
    <cellStyle name="Currency 3 3 5" xfId="346"/>
    <cellStyle name="Currency 3 3 5 2" xfId="347"/>
    <cellStyle name="Currency 3 3 5 3" xfId="348"/>
    <cellStyle name="Currency 3 3 5 4" xfId="349"/>
    <cellStyle name="Currency 3 4" xfId="350"/>
    <cellStyle name="Currency 3 4 2" xfId="351"/>
    <cellStyle name="Currency 3 4 3" xfId="352"/>
    <cellStyle name="Currency 3 4 4" xfId="353"/>
    <cellStyle name="Currency 3 4 4 2" xfId="354"/>
    <cellStyle name="Currency 3 4 4 3" xfId="355"/>
    <cellStyle name="Currency 3 4 4 4" xfId="356"/>
    <cellStyle name="Currency 3 4 5" xfId="357"/>
    <cellStyle name="Currency 3 5" xfId="358"/>
    <cellStyle name="Currency 3 5 2" xfId="359"/>
    <cellStyle name="Currency 3 6" xfId="360"/>
    <cellStyle name="Currency 3 7" xfId="361"/>
    <cellStyle name="Currency 3 8" xfId="362"/>
    <cellStyle name="Currency 4" xfId="363"/>
    <cellStyle name="Currency 4 10" xfId="364"/>
    <cellStyle name="Currency 4 10 2" xfId="365"/>
    <cellStyle name="Currency 4 10 2 2" xfId="366"/>
    <cellStyle name="Currency 4 10 2 2 2" xfId="367"/>
    <cellStyle name="Currency 4 10 2 3" xfId="368"/>
    <cellStyle name="Currency 4 10 2 3 2" xfId="369"/>
    <cellStyle name="Currency 4 10 2 4" xfId="370"/>
    <cellStyle name="Currency 4 10 3" xfId="371"/>
    <cellStyle name="Currency 4 10 3 2" xfId="372"/>
    <cellStyle name="Currency 4 10 4" xfId="373"/>
    <cellStyle name="Currency 4 10 4 2" xfId="374"/>
    <cellStyle name="Currency 4 10 4 3" xfId="375"/>
    <cellStyle name="Currency 4 10 5" xfId="376"/>
    <cellStyle name="Currency 4 10 5 2" xfId="377"/>
    <cellStyle name="Currency 4 2" xfId="378"/>
    <cellStyle name="Currency 4 2 2" xfId="379"/>
    <cellStyle name="Currency 4 2 3" xfId="380"/>
    <cellStyle name="Currency 4 3" xfId="381"/>
    <cellStyle name="Currency 4 3 2" xfId="382"/>
    <cellStyle name="Currency 4 3 2 2" xfId="383"/>
    <cellStyle name="Currency 4 3 2 3" xfId="384"/>
    <cellStyle name="Currency 4 3 2 4" xfId="385"/>
    <cellStyle name="Currency 4 3 3" xfId="386"/>
    <cellStyle name="Currency 4 4" xfId="387"/>
    <cellStyle name="Currency 4 5" xfId="388"/>
    <cellStyle name="Currency 4 5 2" xfId="389"/>
    <cellStyle name="Currency 4 5 3" xfId="390"/>
    <cellStyle name="Currency 4 5 4" xfId="391"/>
    <cellStyle name="Currency 5" xfId="392"/>
    <cellStyle name="Currency 5 2" xfId="393"/>
    <cellStyle name="Currency 5 3" xfId="394"/>
    <cellStyle name="Currency 5 4" xfId="395"/>
    <cellStyle name="Currency 5 4 2" xfId="396"/>
    <cellStyle name="Currency 5 4 3" xfId="397"/>
    <cellStyle name="Currency 5 4 4" xfId="398"/>
    <cellStyle name="Currency 5 5" xfId="399"/>
    <cellStyle name="Currency 6" xfId="400"/>
    <cellStyle name="Currency 6 2" xfId="401"/>
    <cellStyle name="Currency 6 3" xfId="402"/>
    <cellStyle name="Currency 6 3 2" xfId="403"/>
    <cellStyle name="Currency 6 3 3" xfId="404"/>
    <cellStyle name="Currency 6 3 4" xfId="405"/>
    <cellStyle name="Currency 7" xfId="406"/>
    <cellStyle name="Currency 8" xfId="407"/>
    <cellStyle name="Currency 9" xfId="408"/>
    <cellStyle name="Currency0" xfId="409"/>
    <cellStyle name="Currency0 2" xfId="410"/>
    <cellStyle name="Currency0 2 2" xfId="411"/>
    <cellStyle name="Currency0 2 3" xfId="412"/>
    <cellStyle name="Currency0 2 4" xfId="413"/>
    <cellStyle name="Currency0 2 5" xfId="414"/>
    <cellStyle name="Currency0 3" xfId="415"/>
    <cellStyle name="Date" xfId="416"/>
    <cellStyle name="Date 2" xfId="417"/>
    <cellStyle name="Date 2 2" xfId="418"/>
    <cellStyle name="Date 2 3" xfId="419"/>
    <cellStyle name="Date 2 4" xfId="420"/>
    <cellStyle name="Date 2 5" xfId="421"/>
    <cellStyle name="Date 3" xfId="422"/>
    <cellStyle name="Explanatory Text" xfId="423" builtinId="53" customBuiltin="1"/>
    <cellStyle name="Explanatory Text 2" xfId="424"/>
    <cellStyle name="Explanatory Text 2 2" xfId="425"/>
    <cellStyle name="Fixed" xfId="426"/>
    <cellStyle name="Fixed 2" xfId="427"/>
    <cellStyle name="Fixed 2 2" xfId="428"/>
    <cellStyle name="Fixed 2 3" xfId="429"/>
    <cellStyle name="Fixed 2 4" xfId="430"/>
    <cellStyle name="Fixed 2 5" xfId="431"/>
    <cellStyle name="Fixed 3" xfId="432"/>
    <cellStyle name="Good" xfId="433" builtinId="26" customBuiltin="1"/>
    <cellStyle name="Good 2" xfId="434"/>
    <cellStyle name="Good 2 2" xfId="435"/>
    <cellStyle name="Heading 1" xfId="436" builtinId="16" customBuiltin="1"/>
    <cellStyle name="Heading 1 2" xfId="437"/>
    <cellStyle name="Heading 1 2 2" xfId="438"/>
    <cellStyle name="Heading 1 3" xfId="439"/>
    <cellStyle name="Heading 1 3 2" xfId="440"/>
    <cellStyle name="Heading 2" xfId="441" builtinId="17" customBuiltin="1"/>
    <cellStyle name="Heading 2 2" xfId="442"/>
    <cellStyle name="Heading 2 2 2" xfId="443"/>
    <cellStyle name="Heading 2 3" xfId="444"/>
    <cellStyle name="Heading 2 3 2" xfId="445"/>
    <cellStyle name="Heading 3" xfId="446" builtinId="18" customBuiltin="1"/>
    <cellStyle name="Heading 3 2" xfId="447"/>
    <cellStyle name="Heading 3 2 2" xfId="448"/>
    <cellStyle name="Heading 4" xfId="449" builtinId="19" customBuiltin="1"/>
    <cellStyle name="Heading 4 2" xfId="450"/>
    <cellStyle name="Heading 4 2 2" xfId="451"/>
    <cellStyle name="Heading1" xfId="452"/>
    <cellStyle name="Heading2" xfId="453"/>
    <cellStyle name="Input" xfId="454" builtinId="20" customBuiltin="1"/>
    <cellStyle name="Input 2" xfId="455"/>
    <cellStyle name="Input 2 2" xfId="456"/>
    <cellStyle name="Linked Cell" xfId="457" builtinId="24" customBuiltin="1"/>
    <cellStyle name="Linked Cell 2" xfId="458"/>
    <cellStyle name="Linked Cell 2 2" xfId="459"/>
    <cellStyle name="M" xfId="460"/>
    <cellStyle name="M 2" xfId="461"/>
    <cellStyle name="M 2 2" xfId="462"/>
    <cellStyle name="M 2 2 2" xfId="463"/>
    <cellStyle name="M 3" xfId="464"/>
    <cellStyle name="M 3 2" xfId="465"/>
    <cellStyle name="M 3 2 2" xfId="466"/>
    <cellStyle name="M 4" xfId="467"/>
    <cellStyle name="M 5" xfId="468"/>
    <cellStyle name="M 5 2" xfId="469"/>
    <cellStyle name="M 6" xfId="470"/>
    <cellStyle name="M 6 2" xfId="471"/>
    <cellStyle name="M 7" xfId="472"/>
    <cellStyle name="Neutral" xfId="473" builtinId="28" customBuiltin="1"/>
    <cellStyle name="Neutral 2" xfId="474"/>
    <cellStyle name="Neutral 2 2" xfId="475"/>
    <cellStyle name="Normal" xfId="0" builtinId="0"/>
    <cellStyle name="Normal 10" xfId="476"/>
    <cellStyle name="Normal 10 2" xfId="477"/>
    <cellStyle name="Normal 11" xfId="478"/>
    <cellStyle name="Normal 11 2" xfId="479"/>
    <cellStyle name="Normal 11 3" xfId="480"/>
    <cellStyle name="Normal 12" xfId="481"/>
    <cellStyle name="Normal 12 2" xfId="482"/>
    <cellStyle name="Normal 12 3" xfId="483"/>
    <cellStyle name="Normal 2" xfId="484"/>
    <cellStyle name="Normal 2 2" xfId="485"/>
    <cellStyle name="Normal 2 2 2" xfId="486"/>
    <cellStyle name="Normal 2 2 3" xfId="487"/>
    <cellStyle name="Normal 2 2 4" xfId="488"/>
    <cellStyle name="Normal 3" xfId="489"/>
    <cellStyle name="Normal 3 2" xfId="490"/>
    <cellStyle name="Normal 3 2 2" xfId="491"/>
    <cellStyle name="Normal 3 3" xfId="492"/>
    <cellStyle name="Normal 3 3 2" xfId="493"/>
    <cellStyle name="Normal 3 3 3" xfId="494"/>
    <cellStyle name="Normal 3 3 4" xfId="495"/>
    <cellStyle name="Normal 3_OPCo Period I PJM  Formula Rate" xfId="496"/>
    <cellStyle name="Normal 35" xfId="497"/>
    <cellStyle name="Normal 4" xfId="498"/>
    <cellStyle name="Normal 4 2" xfId="499"/>
    <cellStyle name="Normal 4 2 2" xfId="500"/>
    <cellStyle name="Normal 4 3" xfId="501"/>
    <cellStyle name="Normal 4 3 2" xfId="502"/>
    <cellStyle name="Normal 4 3 2 2" xfId="503"/>
    <cellStyle name="Normal 4 3 2 3" xfId="504"/>
    <cellStyle name="Normal 4 3 3" xfId="505"/>
    <cellStyle name="Normal 4 3 3 2" xfId="506"/>
    <cellStyle name="Normal 4 3 3 2 2" xfId="507"/>
    <cellStyle name="Normal 4 3 3 2 3" xfId="508"/>
    <cellStyle name="Normal 4 3 3 2 4" xfId="509"/>
    <cellStyle name="Normal 4 3 3 3" xfId="510"/>
    <cellStyle name="Normal 4 3 4" xfId="511"/>
    <cellStyle name="Normal 4 3 5" xfId="512"/>
    <cellStyle name="Normal 4 3 5 2" xfId="513"/>
    <cellStyle name="Normal 4 3 5 3" xfId="514"/>
    <cellStyle name="Normal 4 3 5 4" xfId="515"/>
    <cellStyle name="Normal 4 4" xfId="516"/>
    <cellStyle name="Normal 4 4 2" xfId="517"/>
    <cellStyle name="Normal 4 4 3" xfId="518"/>
    <cellStyle name="Normal 4 4 4" xfId="519"/>
    <cellStyle name="Normal 4 4 4 2" xfId="520"/>
    <cellStyle name="Normal 4 4 4 3" xfId="521"/>
    <cellStyle name="Normal 4 4 4 4" xfId="522"/>
    <cellStyle name="Normal 4 4 5" xfId="523"/>
    <cellStyle name="Normal 4 5" xfId="524"/>
    <cellStyle name="Normal 4 5 2" xfId="525"/>
    <cellStyle name="Normal 4 5 2 2" xfId="526"/>
    <cellStyle name="Normal 4 5 2 2 2" xfId="527"/>
    <cellStyle name="Normal 4 5 2 2 3" xfId="528"/>
    <cellStyle name="Normal 4 5 2 2 4" xfId="529"/>
    <cellStyle name="Normal 4 5 3" xfId="530"/>
    <cellStyle name="Normal 4 6" xfId="531"/>
    <cellStyle name="Normal 4 7" xfId="532"/>
    <cellStyle name="Normal 4 8" xfId="533"/>
    <cellStyle name="Normal 4_PBOP Exhibit 1" xfId="534"/>
    <cellStyle name="Normal 5" xfId="535"/>
    <cellStyle name="Normal 5 2" xfId="536"/>
    <cellStyle name="Normal 5 2 2" xfId="537"/>
    <cellStyle name="Normal 5 2 3" xfId="538"/>
    <cellStyle name="Normal 5 2 4" xfId="539"/>
    <cellStyle name="Normal 6" xfId="540"/>
    <cellStyle name="Normal 6 2" xfId="541"/>
    <cellStyle name="Normal 7" xfId="542"/>
    <cellStyle name="Normal 7 2" xfId="543"/>
    <cellStyle name="Normal 7 3" xfId="544"/>
    <cellStyle name="Normal 8" xfId="545"/>
    <cellStyle name="Normal 8 2" xfId="546"/>
    <cellStyle name="Normal 9" xfId="547"/>
    <cellStyle name="Normal 9 2" xfId="548"/>
    <cellStyle name="Normal_FN1 Ratebase Draft SPP template (6-11-04) v2" xfId="549"/>
    <cellStyle name="Note" xfId="550" builtinId="10" customBuiltin="1"/>
    <cellStyle name="Note 2" xfId="551"/>
    <cellStyle name="Note 2 2" xfId="552"/>
    <cellStyle name="Note 2 2 2" xfId="553"/>
    <cellStyle name="Note 2 2 3" xfId="554"/>
    <cellStyle name="Note 2 2 4" xfId="555"/>
    <cellStyle name="Output" xfId="556" builtinId="21" customBuiltin="1"/>
    <cellStyle name="Output 2" xfId="557"/>
    <cellStyle name="Output 2 2" xfId="558"/>
    <cellStyle name="Percent" xfId="559" builtinId="5"/>
    <cellStyle name="Percent 10" xfId="560"/>
    <cellStyle name="Percent 2" xfId="561"/>
    <cellStyle name="Percent 2 2" xfId="562"/>
    <cellStyle name="Percent 2 2 2" xfId="563"/>
    <cellStyle name="Percent 2 3" xfId="564"/>
    <cellStyle name="Percent 3" xfId="565"/>
    <cellStyle name="Percent 3 2" xfId="566"/>
    <cellStyle name="Percent 3 2 2" xfId="567"/>
    <cellStyle name="Percent 3 3" xfId="568"/>
    <cellStyle name="Percent 3 3 2" xfId="569"/>
    <cellStyle name="Percent 3 3 2 2" xfId="570"/>
    <cellStyle name="Percent 3 3 2 3" xfId="571"/>
    <cellStyle name="Percent 3 3 3" xfId="572"/>
    <cellStyle name="Percent 3 3 3 2" xfId="573"/>
    <cellStyle name="Percent 3 3 3 2 2" xfId="574"/>
    <cellStyle name="Percent 3 3 3 2 3" xfId="575"/>
    <cellStyle name="Percent 3 3 3 2 4" xfId="576"/>
    <cellStyle name="Percent 3 3 3 3" xfId="577"/>
    <cellStyle name="Percent 3 3 4" xfId="578"/>
    <cellStyle name="Percent 3 3 5" xfId="579"/>
    <cellStyle name="Percent 3 3 5 2" xfId="580"/>
    <cellStyle name="Percent 3 3 5 3" xfId="581"/>
    <cellStyle name="Percent 3 3 5 4" xfId="582"/>
    <cellStyle name="Percent 3 4" xfId="583"/>
    <cellStyle name="Percent 3 4 2" xfId="584"/>
    <cellStyle name="Percent 3 4 3" xfId="585"/>
    <cellStyle name="Percent 3 4 4" xfId="586"/>
    <cellStyle name="Percent 3 4 4 2" xfId="587"/>
    <cellStyle name="Percent 3 4 4 3" xfId="588"/>
    <cellStyle name="Percent 3 4 4 4" xfId="589"/>
    <cellStyle name="Percent 3 4 5" xfId="590"/>
    <cellStyle name="Percent 3 5" xfId="591"/>
    <cellStyle name="Percent 3 5 2" xfId="592"/>
    <cellStyle name="Percent 3 6" xfId="593"/>
    <cellStyle name="Percent 3 7" xfId="594"/>
    <cellStyle name="Percent 3 8" xfId="595"/>
    <cellStyle name="Percent 4" xfId="596"/>
    <cellStyle name="Percent 4 2" xfId="597"/>
    <cellStyle name="Percent 4 2 2" xfId="598"/>
    <cellStyle name="Percent 4 2 3" xfId="599"/>
    <cellStyle name="Percent 4 3" xfId="600"/>
    <cellStyle name="Percent 4 3 2" xfId="601"/>
    <cellStyle name="Percent 4 3 2 2" xfId="602"/>
    <cellStyle name="Percent 4 3 2 3" xfId="603"/>
    <cellStyle name="Percent 4 3 2 4" xfId="604"/>
    <cellStyle name="Percent 4 3 3" xfId="605"/>
    <cellStyle name="Percent 4 4" xfId="606"/>
    <cellStyle name="Percent 4 5" xfId="607"/>
    <cellStyle name="Percent 4 5 2" xfId="608"/>
    <cellStyle name="Percent 4 5 3" xfId="609"/>
    <cellStyle name="Percent 4 5 4" xfId="610"/>
    <cellStyle name="Percent 5" xfId="611"/>
    <cellStyle name="Percent 5 2" xfId="612"/>
    <cellStyle name="Percent 5 3" xfId="613"/>
    <cellStyle name="Percent 5 4" xfId="614"/>
    <cellStyle name="Percent 5 4 2" xfId="615"/>
    <cellStyle name="Percent 5 4 3" xfId="616"/>
    <cellStyle name="Percent 5 4 4" xfId="617"/>
    <cellStyle name="Percent 5 5" xfId="618"/>
    <cellStyle name="Percent 6" xfId="619"/>
    <cellStyle name="Percent 6 2" xfId="620"/>
    <cellStyle name="Percent 7" xfId="621"/>
    <cellStyle name="Percent 7 2" xfId="622"/>
    <cellStyle name="Percent 7 2 2" xfId="623"/>
    <cellStyle name="Percent 7 2 2 2" xfId="624"/>
    <cellStyle name="Percent 7 2 2 2 2" xfId="625"/>
    <cellStyle name="Percent 7 2 2 3" xfId="626"/>
    <cellStyle name="Percent 7 2 2 3 2" xfId="627"/>
    <cellStyle name="Percent 7 2 2 4" xfId="628"/>
    <cellStyle name="Percent 7 2 3" xfId="629"/>
    <cellStyle name="Percent 7 2 3 2" xfId="630"/>
    <cellStyle name="Percent 7 2 4" xfId="631"/>
    <cellStyle name="Percent 7 2 4 2" xfId="632"/>
    <cellStyle name="Percent 7 2 4 3" xfId="633"/>
    <cellStyle name="Percent 7 2 5" xfId="634"/>
    <cellStyle name="Percent 7 2 5 2" xfId="635"/>
    <cellStyle name="Percent 7 3" xfId="636"/>
    <cellStyle name="Percent 7 4" xfId="637"/>
    <cellStyle name="Percent 7 5" xfId="638"/>
    <cellStyle name="Percent 8" xfId="639"/>
    <cellStyle name="Percent 9" xfId="640"/>
    <cellStyle name="PSChar" xfId="641"/>
    <cellStyle name="PSChar 2" xfId="642"/>
    <cellStyle name="PSChar 2 2" xfId="643"/>
    <cellStyle name="PSChar 3" xfId="644"/>
    <cellStyle name="PSChar 4" xfId="645"/>
    <cellStyle name="PSChar 4 2" xfId="646"/>
    <cellStyle name="PSChar 5" xfId="647"/>
    <cellStyle name="PSChar 5 2" xfId="648"/>
    <cellStyle name="PSDate" xfId="649"/>
    <cellStyle name="PSDate 2" xfId="650"/>
    <cellStyle name="PSDate 3" xfId="651"/>
    <cellStyle name="PSDate 4" xfId="652"/>
    <cellStyle name="PSDate 4 2" xfId="653"/>
    <cellStyle name="PSDate 5" xfId="654"/>
    <cellStyle name="PSDate 5 2" xfId="655"/>
    <cellStyle name="PSDec" xfId="656"/>
    <cellStyle name="PSDec 2" xfId="657"/>
    <cellStyle name="PSDec 3" xfId="658"/>
    <cellStyle name="PSDec 4" xfId="659"/>
    <cellStyle name="PSDec 4 2" xfId="660"/>
    <cellStyle name="PSDec 5" xfId="661"/>
    <cellStyle name="PSDec 5 2" xfId="662"/>
    <cellStyle name="PSdesc" xfId="663"/>
    <cellStyle name="PSdesc 2" xfId="664"/>
    <cellStyle name="PSHeading" xfId="665"/>
    <cellStyle name="PSHeading 2" xfId="666"/>
    <cellStyle name="PSHeading 3" xfId="667"/>
    <cellStyle name="PSHeading 4" xfId="668"/>
    <cellStyle name="PSHeading 5" xfId="669"/>
    <cellStyle name="PSHeading 5 2" xfId="670"/>
    <cellStyle name="PSHeading 6" xfId="671"/>
    <cellStyle name="PSHeading 6 2" xfId="672"/>
    <cellStyle name="PSInt" xfId="673"/>
    <cellStyle name="PSInt 2" xfId="674"/>
    <cellStyle name="PSInt 3" xfId="675"/>
    <cellStyle name="PSInt 4" xfId="676"/>
    <cellStyle name="PSInt 4 2" xfId="677"/>
    <cellStyle name="PSInt 5" xfId="678"/>
    <cellStyle name="PSInt 5 2" xfId="679"/>
    <cellStyle name="PSSpacer" xfId="680"/>
    <cellStyle name="PSSpacer 2" xfId="681"/>
    <cellStyle name="PSSpacer 3" xfId="682"/>
    <cellStyle name="PSSpacer 3 2" xfId="683"/>
    <cellStyle name="PStest" xfId="684"/>
    <cellStyle name="PStest 2" xfId="685"/>
    <cellStyle name="R00A" xfId="686"/>
    <cellStyle name="R00B" xfId="687"/>
    <cellStyle name="R00L" xfId="688"/>
    <cellStyle name="R01A" xfId="689"/>
    <cellStyle name="R01B" xfId="690"/>
    <cellStyle name="R01H" xfId="691"/>
    <cellStyle name="R01L" xfId="692"/>
    <cellStyle name="R02A" xfId="693"/>
    <cellStyle name="R02B" xfId="694"/>
    <cellStyle name="R02B 2" xfId="695"/>
    <cellStyle name="R02H" xfId="696"/>
    <cellStyle name="R02L" xfId="697"/>
    <cellStyle name="R03A" xfId="698"/>
    <cellStyle name="R03B" xfId="699"/>
    <cellStyle name="R03B 2" xfId="700"/>
    <cellStyle name="R03H" xfId="701"/>
    <cellStyle name="R03L" xfId="702"/>
    <cellStyle name="R04A" xfId="703"/>
    <cellStyle name="R04B" xfId="704"/>
    <cellStyle name="R04B 2" xfId="705"/>
    <cellStyle name="R04H" xfId="706"/>
    <cellStyle name="R04L" xfId="707"/>
    <cellStyle name="R05A" xfId="708"/>
    <cellStyle name="R05B" xfId="709"/>
    <cellStyle name="R05B 2" xfId="710"/>
    <cellStyle name="R05H" xfId="711"/>
    <cellStyle name="R05L" xfId="712"/>
    <cellStyle name="R05L 2" xfId="713"/>
    <cellStyle name="R06A" xfId="714"/>
    <cellStyle name="R06B" xfId="715"/>
    <cellStyle name="R06B 2" xfId="716"/>
    <cellStyle name="R06H" xfId="717"/>
    <cellStyle name="R06L" xfId="718"/>
    <cellStyle name="R07A" xfId="719"/>
    <cellStyle name="R07B" xfId="720"/>
    <cellStyle name="R07B 2" xfId="721"/>
    <cellStyle name="R07H" xfId="722"/>
    <cellStyle name="R07L" xfId="723"/>
    <cellStyle name="Title" xfId="724" builtinId="15" customBuiltin="1"/>
    <cellStyle name="Title 2" xfId="725"/>
    <cellStyle name="Title 2 2" xfId="726"/>
    <cellStyle name="Total" xfId="727" builtinId="25" customBuiltin="1"/>
    <cellStyle name="Total 2" xfId="728"/>
    <cellStyle name="Total 2 2" xfId="729"/>
    <cellStyle name="Total 3" xfId="730"/>
    <cellStyle name="Total 3 2" xfId="731"/>
    <cellStyle name="Warning Text" xfId="732" builtinId="11" customBuiltin="1"/>
    <cellStyle name="Warning Text 2" xfId="733"/>
    <cellStyle name="Warning Text 2 2" xfId="734"/>
  </cellStyles>
  <dxfs count="61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9167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93"/>
  <sheetViews>
    <sheetView tabSelected="1" zoomScale="70" zoomScaleNormal="70" zoomScaleSheetLayoutView="75" workbookViewId="0"/>
  </sheetViews>
  <sheetFormatPr defaultColWidth="8.7265625" defaultRowHeight="12.75" customHeight="1"/>
  <cols>
    <col min="1" max="1" width="7.453125" style="148" customWidth="1"/>
    <col min="2" max="2" width="7" style="148" bestFit="1" customWidth="1"/>
    <col min="3" max="3" width="43.1796875" style="148" customWidth="1"/>
    <col min="4" max="4" width="9.54296875" style="148" customWidth="1"/>
    <col min="5" max="7" width="15.453125" style="148" bestFit="1" customWidth="1"/>
    <col min="8" max="8" width="2.81640625" style="148" customWidth="1"/>
    <col min="9" max="9" width="13.54296875" style="148" bestFit="1" customWidth="1"/>
    <col min="10" max="10" width="13.26953125" style="148" customWidth="1"/>
    <col min="11" max="11" width="12.81640625" style="148" bestFit="1" customWidth="1"/>
    <col min="12" max="12" width="15.26953125" style="148" customWidth="1"/>
    <col min="13" max="13" width="2.453125" style="148" customWidth="1"/>
    <col min="14" max="14" width="6.1796875" style="148" customWidth="1"/>
    <col min="15" max="15" width="8.7265625" style="148" customWidth="1"/>
    <col min="16" max="16" width="10.7265625" style="148" customWidth="1"/>
    <col min="17" max="17" width="14.36328125" style="148" customWidth="1"/>
    <col min="18" max="18" width="18.7265625" style="148" customWidth="1"/>
    <col min="19" max="19" width="2.453125" style="148" customWidth="1"/>
    <col min="20" max="20" width="19.1796875" style="148" bestFit="1" customWidth="1"/>
    <col min="21" max="21" width="8.7265625" style="148"/>
    <col min="22" max="22" width="13.81640625" style="148" customWidth="1"/>
    <col min="23" max="28" width="8.7265625" style="148"/>
    <col min="29" max="29" width="9.1796875" style="148" customWidth="1"/>
    <col min="30" max="16384" width="8.7265625" style="148"/>
  </cols>
  <sheetData>
    <row r="1" spans="1:23" ht="15.5">
      <c r="H1" s="149" t="s">
        <v>157</v>
      </c>
      <c r="U1" s="148">
        <v>2020</v>
      </c>
    </row>
    <row r="2" spans="1:23" ht="15.5">
      <c r="H2" s="150" t="s">
        <v>189</v>
      </c>
      <c r="U2" s="148">
        <f>+U1+1</f>
        <v>2021</v>
      </c>
    </row>
    <row r="3" spans="1:23" ht="15.5">
      <c r="H3" s="151" t="str">
        <f>"For Calendar Year "&amp;U1-1&amp;" and Projected Year "&amp;U1</f>
        <v>For Calendar Year 2019 and Projected Year 2020</v>
      </c>
    </row>
    <row r="4" spans="1:23" ht="15.5">
      <c r="H4" s="152"/>
    </row>
    <row r="5" spans="1:23" ht="15.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 ht="12.5">
      <c r="D8" s="155"/>
    </row>
    <row r="9" spans="1:23" ht="12.5">
      <c r="A9" s="148" t="s">
        <v>260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3" ht="16.5" customHeight="1">
      <c r="A13" s="160"/>
      <c r="B13" s="160"/>
      <c r="C13" s="160"/>
      <c r="D13" s="160"/>
      <c r="E13" s="624" t="str">
        <f>"Projected ARR For "&amp;U1&amp;" From WS-F"</f>
        <v>Projected ARR For 2020 From WS-F</v>
      </c>
      <c r="F13" s="624"/>
      <c r="G13" s="624"/>
      <c r="H13" s="160"/>
      <c r="I13" s="161" t="s">
        <v>344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3" ht="18" customHeight="1">
      <c r="I14" s="163"/>
      <c r="T14" s="625" t="str">
        <f>"Total ADJUSTED Revenue Requirement Effective
1/1/"&amp;U2&amp;""</f>
        <v>Total ADJUSTED Revenue Requirement Effective
1/1/2021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25"/>
    </row>
    <row r="16" spans="1:23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174" t="s">
        <v>223</v>
      </c>
      <c r="K16" s="174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25"/>
      <c r="V16" s="177" t="s">
        <v>200</v>
      </c>
    </row>
    <row r="17" spans="1:23" ht="1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3" ht="13">
      <c r="A18" s="156" t="s">
        <v>178</v>
      </c>
      <c r="B18" s="156" t="s">
        <v>117</v>
      </c>
      <c r="C18" s="180" t="str">
        <f t="shared" ref="C18:D44" ca="1" si="0">INDIRECT("'"&amp; $A18 &amp; "'!" &amp;C$54)</f>
        <v>Riverside-Glenpool (81-523) Reconductor</v>
      </c>
      <c r="D18" s="181">
        <f t="shared" ca="1" si="0"/>
        <v>2009</v>
      </c>
      <c r="E18" s="182">
        <v>0</v>
      </c>
      <c r="F18" s="183">
        <f t="shared" ref="F18:F44" ca="1" si="1">INDIRECT("'"&amp; $A18 &amp; "'!" &amp;F$54)</f>
        <v>0</v>
      </c>
      <c r="G18" s="183">
        <f t="shared" ref="G18:G27" ca="1" si="2">+E18+F18</f>
        <v>0</v>
      </c>
      <c r="H18" s="184"/>
      <c r="I18" s="185">
        <f t="shared" ref="I18:I44" ca="1" si="3">INDIRECT("'"&amp; $A18 &amp; "'!" &amp;I$54)</f>
        <v>-7367.2732566262857</v>
      </c>
      <c r="J18" s="186">
        <v>104140.02273549864</v>
      </c>
      <c r="K18" s="186">
        <f t="shared" ref="K18:K44" si="4">J18/J$47*K$47</f>
        <v>97486.366827498205</v>
      </c>
      <c r="L18" s="182">
        <f t="shared" ref="L18:L27" si="5">+J18-K18</f>
        <v>6653.6559080004372</v>
      </c>
      <c r="M18" s="182"/>
      <c r="N18" s="183">
        <v>0</v>
      </c>
      <c r="O18" s="183">
        <v>0</v>
      </c>
      <c r="P18" s="183">
        <f t="shared" ref="P18:P26" si="6">+N18-O18</f>
        <v>0</v>
      </c>
      <c r="Q18" s="182">
        <f t="shared" ref="Q18:Q43" ca="1" si="7">+V18/$V$47 * $Q$47</f>
        <v>-73.380176948478919</v>
      </c>
      <c r="R18" s="187">
        <f t="shared" ref="R18:R27" ca="1" si="8">I18+L18+P18+Q18</f>
        <v>-786.99752557432748</v>
      </c>
      <c r="S18" s="187"/>
      <c r="T18" s="188">
        <f t="shared" ref="T18:T27" ca="1" si="9">+G18+R18</f>
        <v>-786.99752557432748</v>
      </c>
      <c r="V18" s="189">
        <f t="shared" ref="V18:V27" ca="1" si="10">+I18+L18+P18</f>
        <v>-713.61734862584854</v>
      </c>
      <c r="W18" s="159" t="str">
        <f>A18</f>
        <v>P.001</v>
      </c>
    </row>
    <row r="19" spans="1:23" ht="13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182">
        <v>0</v>
      </c>
      <c r="F19" s="183">
        <f t="shared" ca="1" si="1"/>
        <v>0</v>
      </c>
      <c r="G19" s="183">
        <f t="shared" ca="1" si="2"/>
        <v>0</v>
      </c>
      <c r="H19" s="184"/>
      <c r="I19" s="185">
        <f t="shared" ca="1" si="3"/>
        <v>-34294.182709811721</v>
      </c>
      <c r="J19" s="186">
        <v>549327.19573966297</v>
      </c>
      <c r="K19" s="186">
        <f t="shared" si="4"/>
        <v>514229.89073290478</v>
      </c>
      <c r="L19" s="182">
        <f t="shared" si="5"/>
        <v>35097.305006758193</v>
      </c>
      <c r="M19" s="182"/>
      <c r="N19" s="183">
        <v>0</v>
      </c>
      <c r="O19" s="183">
        <v>0</v>
      </c>
      <c r="P19" s="183">
        <f t="shared" si="6"/>
        <v>0</v>
      </c>
      <c r="Q19" s="182">
        <f t="shared" ca="1" si="7"/>
        <v>82.583833443348425</v>
      </c>
      <c r="R19" s="187">
        <f t="shared" ca="1" si="8"/>
        <v>885.70613038982094</v>
      </c>
      <c r="S19" s="187"/>
      <c r="T19" s="190">
        <f t="shared" ca="1" si="9"/>
        <v>885.70613038982094</v>
      </c>
      <c r="V19" s="189">
        <f t="shared" ca="1" si="10"/>
        <v>803.12229694647249</v>
      </c>
      <c r="W19" s="159" t="str">
        <f t="shared" ref="W19:W25" si="11">A19</f>
        <v>P.002</v>
      </c>
    </row>
    <row r="20" spans="1:23" ht="2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182">
        <v>0</v>
      </c>
      <c r="F20" s="183">
        <f t="shared" ca="1" si="1"/>
        <v>0</v>
      </c>
      <c r="G20" s="183">
        <f t="shared" ca="1" si="2"/>
        <v>0</v>
      </c>
      <c r="H20" s="184"/>
      <c r="I20" s="185">
        <f t="shared" ca="1" si="3"/>
        <v>-88974.403241892112</v>
      </c>
      <c r="J20" s="186">
        <v>1341548.1848883657</v>
      </c>
      <c r="K20" s="186">
        <f t="shared" si="4"/>
        <v>1255834.7408945893</v>
      </c>
      <c r="L20" s="182">
        <f t="shared" si="5"/>
        <v>85713.443993776338</v>
      </c>
      <c r="M20" s="182"/>
      <c r="N20" s="183">
        <v>0</v>
      </c>
      <c r="O20" s="183">
        <v>0</v>
      </c>
      <c r="P20" s="183">
        <f t="shared" si="6"/>
        <v>0</v>
      </c>
      <c r="Q20" s="182">
        <f t="shared" ca="1" si="7"/>
        <v>-335.31943570219249</v>
      </c>
      <c r="R20" s="187">
        <f t="shared" ca="1" si="8"/>
        <v>-3596.2786838179668</v>
      </c>
      <c r="S20" s="187"/>
      <c r="T20" s="190">
        <f t="shared" ca="1" si="9"/>
        <v>-3596.2786838179668</v>
      </c>
      <c r="V20" s="189">
        <f t="shared" ca="1" si="10"/>
        <v>-3260.9592481157742</v>
      </c>
      <c r="W20" s="159" t="str">
        <f t="shared" si="11"/>
        <v>P.003</v>
      </c>
    </row>
    <row r="21" spans="1:23" ht="2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182">
        <v>0</v>
      </c>
      <c r="F21" s="183">
        <f t="shared" ca="1" si="1"/>
        <v>0</v>
      </c>
      <c r="G21" s="183">
        <f t="shared" ca="1" si="2"/>
        <v>0</v>
      </c>
      <c r="H21" s="184"/>
      <c r="I21" s="185">
        <f t="shared" ca="1" si="3"/>
        <v>-122596.60071252333</v>
      </c>
      <c r="J21" s="186">
        <v>1655501.4515661704</v>
      </c>
      <c r="K21" s="186">
        <f t="shared" si="4"/>
        <v>1549729.0815918187</v>
      </c>
      <c r="L21" s="182">
        <f t="shared" si="5"/>
        <v>105772.36997435172</v>
      </c>
      <c r="M21" s="182"/>
      <c r="N21" s="183">
        <v>0</v>
      </c>
      <c r="O21" s="183">
        <v>0</v>
      </c>
      <c r="P21" s="183">
        <f t="shared" si="6"/>
        <v>0</v>
      </c>
      <c r="Q21" s="182">
        <f t="shared" ca="1" si="7"/>
        <v>-1730.009830851739</v>
      </c>
      <c r="R21" s="187">
        <f t="shared" ca="1" si="8"/>
        <v>-18554.24056902335</v>
      </c>
      <c r="S21" s="187"/>
      <c r="T21" s="190">
        <f t="shared" ca="1" si="9"/>
        <v>-18554.24056902335</v>
      </c>
      <c r="V21" s="189">
        <f t="shared" ca="1" si="10"/>
        <v>-16824.230738171609</v>
      </c>
      <c r="W21" s="159" t="str">
        <f t="shared" si="11"/>
        <v>P.004</v>
      </c>
    </row>
    <row r="22" spans="1:23" ht="1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182">
        <v>0</v>
      </c>
      <c r="F22" s="183">
        <f t="shared" ca="1" si="1"/>
        <v>0</v>
      </c>
      <c r="G22" s="183">
        <f t="shared" ca="1" si="2"/>
        <v>0</v>
      </c>
      <c r="H22" s="184"/>
      <c r="I22" s="185">
        <f t="shared" ca="1" si="3"/>
        <v>-2799.7470979012069</v>
      </c>
      <c r="J22" s="186">
        <v>42867.782089519125</v>
      </c>
      <c r="K22" s="186">
        <f t="shared" si="4"/>
        <v>40128.897805930646</v>
      </c>
      <c r="L22" s="182">
        <f t="shared" si="5"/>
        <v>2738.8842835884789</v>
      </c>
      <c r="M22" s="182"/>
      <c r="N22" s="183">
        <v>0</v>
      </c>
      <c r="O22" s="183">
        <v>0</v>
      </c>
      <c r="P22" s="183">
        <f t="shared" si="6"/>
        <v>0</v>
      </c>
      <c r="Q22" s="182">
        <f t="shared" ca="1" si="7"/>
        <v>-6.2584298047832316</v>
      </c>
      <c r="R22" s="187">
        <f t="shared" ca="1" si="8"/>
        <v>-67.121244117511239</v>
      </c>
      <c r="S22" s="187"/>
      <c r="T22" s="190">
        <f t="shared" ca="1" si="9"/>
        <v>-67.121244117511239</v>
      </c>
      <c r="V22" s="189">
        <f t="shared" ca="1" si="10"/>
        <v>-60.862814312728005</v>
      </c>
      <c r="W22" s="159" t="str">
        <f t="shared" si="11"/>
        <v>P.005</v>
      </c>
    </row>
    <row r="23" spans="1:23" ht="1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182">
        <v>0</v>
      </c>
      <c r="F23" s="183">
        <f t="shared" ca="1" si="1"/>
        <v>0</v>
      </c>
      <c r="G23" s="183">
        <f t="shared" ca="1" si="2"/>
        <v>0</v>
      </c>
      <c r="H23" s="184"/>
      <c r="I23" s="185">
        <f t="shared" ca="1" si="3"/>
        <v>-11603.450483901543</v>
      </c>
      <c r="J23" s="186">
        <v>174059.75719074826</v>
      </c>
      <c r="K23" s="186">
        <f t="shared" si="4"/>
        <v>162938.82883528934</v>
      </c>
      <c r="L23" s="182">
        <f t="shared" si="5"/>
        <v>11120.92835545892</v>
      </c>
      <c r="M23" s="182"/>
      <c r="N23" s="183">
        <v>0</v>
      </c>
      <c r="O23" s="183">
        <v>0</v>
      </c>
      <c r="P23" s="183">
        <f t="shared" si="6"/>
        <v>0</v>
      </c>
      <c r="Q23" s="182">
        <f t="shared" ca="1" si="7"/>
        <v>-49.617010061285086</v>
      </c>
      <c r="R23" s="187">
        <f t="shared" ca="1" si="8"/>
        <v>-532.13913850390759</v>
      </c>
      <c r="S23" s="187"/>
      <c r="T23" s="190">
        <f t="shared" ca="1" si="9"/>
        <v>-532.13913850390759</v>
      </c>
      <c r="V23" s="189">
        <f t="shared" ca="1" si="10"/>
        <v>-482.52212844262249</v>
      </c>
      <c r="W23" s="159" t="str">
        <f t="shared" si="11"/>
        <v>P.006</v>
      </c>
    </row>
    <row r="24" spans="1:23" ht="1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182">
        <v>0</v>
      </c>
      <c r="F24" s="183">
        <f t="shared" ca="1" si="1"/>
        <v>0</v>
      </c>
      <c r="G24" s="183">
        <f t="shared" ca="1" si="2"/>
        <v>0</v>
      </c>
      <c r="H24" s="184"/>
      <c r="I24" s="185">
        <f t="shared" ca="1" si="3"/>
        <v>-659.10479740627852</v>
      </c>
      <c r="J24" s="186">
        <v>9587.8805673227471</v>
      </c>
      <c r="K24" s="186">
        <f t="shared" si="4"/>
        <v>8975.2970811063205</v>
      </c>
      <c r="L24" s="182">
        <f t="shared" si="5"/>
        <v>612.58348621642654</v>
      </c>
      <c r="M24" s="182"/>
      <c r="N24" s="183">
        <v>0</v>
      </c>
      <c r="O24" s="183">
        <v>0</v>
      </c>
      <c r="P24" s="183">
        <f t="shared" si="6"/>
        <v>0</v>
      </c>
      <c r="Q24" s="182">
        <f t="shared" ca="1" si="7"/>
        <v>-4.7837150449889432</v>
      </c>
      <c r="R24" s="187">
        <f t="shared" ca="1" si="8"/>
        <v>-51.30502623484093</v>
      </c>
      <c r="S24" s="192" t="s">
        <v>224</v>
      </c>
      <c r="T24" s="190">
        <f t="shared" ca="1" si="9"/>
        <v>-51.30502623484093</v>
      </c>
      <c r="V24" s="189">
        <f t="shared" ca="1" si="10"/>
        <v>-46.521311189851986</v>
      </c>
      <c r="W24" s="159" t="str">
        <f t="shared" si="11"/>
        <v>P.007</v>
      </c>
    </row>
    <row r="25" spans="1:23" ht="2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182">
        <v>0</v>
      </c>
      <c r="F25" s="183">
        <f t="shared" ca="1" si="1"/>
        <v>0</v>
      </c>
      <c r="G25" s="183">
        <f t="shared" ca="1" si="2"/>
        <v>0</v>
      </c>
      <c r="H25" s="184"/>
      <c r="I25" s="185">
        <f t="shared" ca="1" si="3"/>
        <v>-351.17880343773959</v>
      </c>
      <c r="J25" s="186">
        <v>6325.7232782222345</v>
      </c>
      <c r="K25" s="186">
        <f t="shared" si="4"/>
        <v>5921.5637153861471</v>
      </c>
      <c r="L25" s="182">
        <f t="shared" si="5"/>
        <v>404.15956283608739</v>
      </c>
      <c r="M25" s="182"/>
      <c r="N25" s="183">
        <v>0</v>
      </c>
      <c r="O25" s="183">
        <v>0</v>
      </c>
      <c r="P25" s="183">
        <f t="shared" si="6"/>
        <v>0</v>
      </c>
      <c r="Q25" s="182">
        <f t="shared" ca="1" si="7"/>
        <v>5.4479301925630459</v>
      </c>
      <c r="R25" s="187">
        <f t="shared" ca="1" si="8"/>
        <v>58.428689590910849</v>
      </c>
      <c r="S25" s="192" t="s">
        <v>224</v>
      </c>
      <c r="T25" s="190">
        <f t="shared" ca="1" si="9"/>
        <v>58.428689590910849</v>
      </c>
      <c r="V25" s="189">
        <f ca="1">+I25+L25+P25</f>
        <v>52.9807593983478</v>
      </c>
      <c r="W25" s="159" t="str">
        <f t="shared" si="11"/>
        <v>P.008</v>
      </c>
    </row>
    <row r="26" spans="1:23" ht="1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182">
        <v>0</v>
      </c>
      <c r="F26" s="183">
        <f t="shared" ca="1" si="1"/>
        <v>0</v>
      </c>
      <c r="G26" s="183">
        <f t="shared" ca="1" si="2"/>
        <v>0</v>
      </c>
      <c r="H26" s="184"/>
      <c r="I26" s="185">
        <f t="shared" ca="1" si="3"/>
        <v>-469.17693178524951</v>
      </c>
      <c r="J26" s="186">
        <v>8325.8641677217802</v>
      </c>
      <c r="K26" s="186">
        <f t="shared" si="4"/>
        <v>7793.9127252924554</v>
      </c>
      <c r="L26" s="182">
        <f t="shared" si="5"/>
        <v>531.95144242932474</v>
      </c>
      <c r="M26" s="182"/>
      <c r="N26" s="183">
        <v>0</v>
      </c>
      <c r="O26" s="183">
        <v>0</v>
      </c>
      <c r="P26" s="183">
        <f t="shared" si="6"/>
        <v>0</v>
      </c>
      <c r="Q26" s="182">
        <f t="shared" ca="1" si="7"/>
        <v>6.455006605131687</v>
      </c>
      <c r="R26" s="187">
        <f t="shared" ca="1" si="8"/>
        <v>69.229517249206921</v>
      </c>
      <c r="S26" s="192" t="s">
        <v>224</v>
      </c>
      <c r="T26" s="190">
        <f t="shared" ca="1" si="9"/>
        <v>69.229517249206921</v>
      </c>
      <c r="V26" s="189">
        <f t="shared" ca="1" si="10"/>
        <v>62.774510644075235</v>
      </c>
      <c r="W26" s="159" t="str">
        <f t="shared" ref="W26:W31" si="12">A26</f>
        <v>P.009</v>
      </c>
    </row>
    <row r="27" spans="1:23" ht="1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182">
        <v>0</v>
      </c>
      <c r="F27" s="183">
        <f t="shared" ca="1" si="1"/>
        <v>0</v>
      </c>
      <c r="G27" s="183">
        <f t="shared" ca="1" si="2"/>
        <v>0</v>
      </c>
      <c r="H27" s="184"/>
      <c r="I27" s="185">
        <f t="shared" ca="1" si="3"/>
        <v>-733.02787286689454</v>
      </c>
      <c r="J27" s="186">
        <v>11525.066332708986</v>
      </c>
      <c r="K27" s="186">
        <f t="shared" si="4"/>
        <v>10788.713260370097</v>
      </c>
      <c r="L27" s="182">
        <f t="shared" si="5"/>
        <v>736.35307233888852</v>
      </c>
      <c r="M27" s="182"/>
      <c r="N27" s="183">
        <v>0</v>
      </c>
      <c r="O27" s="183">
        <v>0</v>
      </c>
      <c r="P27" s="183">
        <f t="shared" ref="P27:P33" si="13">+N27-O27</f>
        <v>0</v>
      </c>
      <c r="Q27" s="182">
        <f t="shared" ca="1" si="7"/>
        <v>0.34192515935012524</v>
      </c>
      <c r="R27" s="187">
        <f t="shared" ca="1" si="8"/>
        <v>3.6671246313441084</v>
      </c>
      <c r="S27" s="187"/>
      <c r="T27" s="190">
        <f t="shared" ca="1" si="9"/>
        <v>3.6671246313441084</v>
      </c>
      <c r="V27" s="189">
        <f t="shared" ca="1" si="10"/>
        <v>3.325199471993983</v>
      </c>
      <c r="W27" s="159" t="str">
        <f t="shared" si="12"/>
        <v>P.010</v>
      </c>
    </row>
    <row r="28" spans="1:23" ht="1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182">
        <v>0</v>
      </c>
      <c r="F28" s="183">
        <f t="shared" ca="1" si="1"/>
        <v>0</v>
      </c>
      <c r="G28" s="183">
        <f t="shared" ref="G28:G33" ca="1" si="14">+E28+F28</f>
        <v>0</v>
      </c>
      <c r="H28" s="184"/>
      <c r="I28" s="185">
        <f t="shared" ca="1" si="3"/>
        <v>-11228.828582319955</v>
      </c>
      <c r="J28" s="186">
        <v>169878.42093134424</v>
      </c>
      <c r="K28" s="186">
        <f t="shared" si="4"/>
        <v>159024.64416635866</v>
      </c>
      <c r="L28" s="182">
        <f t="shared" ref="L28:L33" si="15">+J28-K28</f>
        <v>10853.776764985581</v>
      </c>
      <c r="M28" s="182"/>
      <c r="N28" s="183">
        <v>0</v>
      </c>
      <c r="O28" s="183">
        <v>0</v>
      </c>
      <c r="P28" s="183">
        <f t="shared" si="13"/>
        <v>0</v>
      </c>
      <c r="Q28" s="182">
        <f t="shared" ca="1" si="7"/>
        <v>-38.566002877929535</v>
      </c>
      <c r="R28" s="187">
        <f t="shared" ref="R28:R33" ca="1" si="16">I28+L28+P28+Q28</f>
        <v>-413.617820212303</v>
      </c>
      <c r="S28" s="187"/>
      <c r="T28" s="190">
        <f t="shared" ref="T28:T33" ca="1" si="17">+G28+R28</f>
        <v>-413.617820212303</v>
      </c>
      <c r="V28" s="189">
        <f t="shared" ref="V28:V33" ca="1" si="18">+I28+L28+P28</f>
        <v>-375.05181733437348</v>
      </c>
      <c r="W28" s="159" t="str">
        <f t="shared" si="12"/>
        <v>P.011</v>
      </c>
    </row>
    <row r="29" spans="1:23" ht="25">
      <c r="A29" s="158" t="s">
        <v>238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182">
        <v>0</v>
      </c>
      <c r="F29" s="183">
        <f t="shared" ca="1" si="1"/>
        <v>0</v>
      </c>
      <c r="G29" s="183">
        <f t="shared" ca="1" si="14"/>
        <v>0</v>
      </c>
      <c r="H29" s="184"/>
      <c r="I29" s="185">
        <f t="shared" ca="1" si="3"/>
        <v>-28557.845503554447</v>
      </c>
      <c r="J29" s="186">
        <v>410510.03983753175</v>
      </c>
      <c r="K29" s="186">
        <f t="shared" si="4"/>
        <v>384281.96267649776</v>
      </c>
      <c r="L29" s="182">
        <f t="shared" si="15"/>
        <v>26228.077161033987</v>
      </c>
      <c r="M29" s="182"/>
      <c r="N29" s="183">
        <v>0</v>
      </c>
      <c r="O29" s="183">
        <v>0</v>
      </c>
      <c r="P29" s="183">
        <f t="shared" si="13"/>
        <v>0</v>
      </c>
      <c r="Q29" s="182">
        <f t="shared" ca="1" si="7"/>
        <v>-239.56650374646361</v>
      </c>
      <c r="R29" s="187">
        <f t="shared" ca="1" si="16"/>
        <v>-2569.3348462669233</v>
      </c>
      <c r="S29" s="187"/>
      <c r="T29" s="190">
        <f t="shared" ca="1" si="17"/>
        <v>-2569.3348462669233</v>
      </c>
      <c r="V29" s="189">
        <f t="shared" ca="1" si="18"/>
        <v>-2329.7683425204596</v>
      </c>
      <c r="W29" s="159" t="str">
        <f t="shared" si="12"/>
        <v>P.012</v>
      </c>
    </row>
    <row r="30" spans="1:23" ht="15.75" customHeight="1">
      <c r="A30" s="158" t="s">
        <v>240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182">
        <v>0</v>
      </c>
      <c r="F30" s="183">
        <f t="shared" ca="1" si="1"/>
        <v>0</v>
      </c>
      <c r="G30" s="183">
        <f t="shared" ca="1" si="14"/>
        <v>0</v>
      </c>
      <c r="H30" s="184"/>
      <c r="I30" s="185">
        <f t="shared" ca="1" si="3"/>
        <v>-182.53227298117235</v>
      </c>
      <c r="J30" s="186">
        <v>2725.0345759896641</v>
      </c>
      <c r="K30" s="186">
        <f t="shared" si="4"/>
        <v>2550.9281956589193</v>
      </c>
      <c r="L30" s="182">
        <f t="shared" si="15"/>
        <v>174.10638033074474</v>
      </c>
      <c r="M30" s="182"/>
      <c r="N30" s="183">
        <v>0</v>
      </c>
      <c r="O30" s="183">
        <v>0</v>
      </c>
      <c r="P30" s="183">
        <f t="shared" si="13"/>
        <v>0</v>
      </c>
      <c r="Q30" s="182">
        <f t="shared" ca="1" si="7"/>
        <v>-0.86642161212568725</v>
      </c>
      <c r="R30" s="187">
        <f t="shared" ca="1" si="16"/>
        <v>-9.2923142625533011</v>
      </c>
      <c r="S30" s="187"/>
      <c r="T30" s="190">
        <f t="shared" ca="1" si="17"/>
        <v>-9.2923142625533011</v>
      </c>
      <c r="V30" s="189">
        <f t="shared" ca="1" si="18"/>
        <v>-8.4258926504276133</v>
      </c>
      <c r="W30" s="159" t="str">
        <f t="shared" si="12"/>
        <v>P.013</v>
      </c>
    </row>
    <row r="31" spans="1:23" ht="15.75" customHeight="1">
      <c r="A31" s="194" t="s">
        <v>243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182">
        <v>0</v>
      </c>
      <c r="F31" s="183">
        <f t="shared" ca="1" si="1"/>
        <v>0</v>
      </c>
      <c r="G31" s="183">
        <f t="shared" ca="1" si="14"/>
        <v>0</v>
      </c>
      <c r="H31" s="184"/>
      <c r="I31" s="185">
        <f t="shared" ca="1" si="3"/>
        <v>94.910251959823654</v>
      </c>
      <c r="J31" s="186">
        <v>136810.41156364037</v>
      </c>
      <c r="K31" s="186">
        <f t="shared" si="4"/>
        <v>128069.39750136773</v>
      </c>
      <c r="L31" s="182">
        <f t="shared" si="15"/>
        <v>8741.0140622726467</v>
      </c>
      <c r="M31" s="182"/>
      <c r="N31" s="183">
        <v>0</v>
      </c>
      <c r="O31" s="183">
        <v>0</v>
      </c>
      <c r="P31" s="183">
        <f t="shared" si="13"/>
        <v>0</v>
      </c>
      <c r="Q31" s="182">
        <f t="shared" ca="1" si="7"/>
        <v>908.58453894132288</v>
      </c>
      <c r="R31" s="187">
        <f t="shared" ca="1" si="16"/>
        <v>9744.5088531737929</v>
      </c>
      <c r="S31" s="187"/>
      <c r="T31" s="190">
        <f t="shared" ca="1" si="17"/>
        <v>9744.5088531737929</v>
      </c>
      <c r="V31" s="189">
        <f t="shared" ca="1" si="18"/>
        <v>8835.9243142324704</v>
      </c>
      <c r="W31" s="159" t="str">
        <f t="shared" si="12"/>
        <v>P.014</v>
      </c>
    </row>
    <row r="32" spans="1:23" ht="25.5" customHeight="1">
      <c r="A32" s="194" t="s">
        <v>256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182">
        <v>0</v>
      </c>
      <c r="F32" s="183">
        <f t="shared" ca="1" si="1"/>
        <v>0</v>
      </c>
      <c r="G32" s="183">
        <f t="shared" ca="1" si="14"/>
        <v>0</v>
      </c>
      <c r="H32" s="184"/>
      <c r="I32" s="185">
        <f t="shared" ca="1" si="3"/>
        <v>-19095.754775405047</v>
      </c>
      <c r="J32" s="186">
        <v>285361.49758524634</v>
      </c>
      <c r="K32" s="186">
        <f t="shared" si="4"/>
        <v>267129.34087498364</v>
      </c>
      <c r="L32" s="182">
        <f t="shared" si="15"/>
        <v>18232.156710262701</v>
      </c>
      <c r="M32" s="182"/>
      <c r="N32" s="183">
        <v>0</v>
      </c>
      <c r="O32" s="183">
        <v>0</v>
      </c>
      <c r="P32" s="183">
        <f t="shared" si="13"/>
        <v>0</v>
      </c>
      <c r="Q32" s="182">
        <f t="shared" ca="1" si="7"/>
        <v>-88.802463889838648</v>
      </c>
      <c r="R32" s="187">
        <f t="shared" ca="1" si="16"/>
        <v>-952.40052903218384</v>
      </c>
      <c r="S32" s="187"/>
      <c r="T32" s="190">
        <f t="shared" ca="1" si="17"/>
        <v>-952.40052903218384</v>
      </c>
      <c r="V32" s="189">
        <f t="shared" ca="1" si="18"/>
        <v>-863.59806514234515</v>
      </c>
      <c r="W32" s="159" t="str">
        <f t="shared" ref="W32:W39" si="19">A32</f>
        <v>P.015</v>
      </c>
    </row>
    <row r="33" spans="1:23" ht="15.75" customHeight="1">
      <c r="A33" s="194" t="s">
        <v>257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182">
        <v>0</v>
      </c>
      <c r="F33" s="183">
        <f t="shared" ca="1" si="1"/>
        <v>0</v>
      </c>
      <c r="G33" s="183">
        <f t="shared" ca="1" si="14"/>
        <v>0</v>
      </c>
      <c r="H33" s="184"/>
      <c r="I33" s="185">
        <f t="shared" ca="1" si="3"/>
        <v>-43371.710514863022</v>
      </c>
      <c r="J33" s="186">
        <v>651979.81688763353</v>
      </c>
      <c r="K33" s="186">
        <f t="shared" si="4"/>
        <v>610323.88820064359</v>
      </c>
      <c r="L33" s="182">
        <f t="shared" si="15"/>
        <v>41655.928686989937</v>
      </c>
      <c r="M33" s="182"/>
      <c r="N33" s="183">
        <v>0</v>
      </c>
      <c r="O33" s="183">
        <v>0</v>
      </c>
      <c r="P33" s="183">
        <f t="shared" si="13"/>
        <v>0</v>
      </c>
      <c r="Q33" s="182">
        <f t="shared" ca="1" si="7"/>
        <v>-176.43121257737744</v>
      </c>
      <c r="R33" s="187">
        <f t="shared" ca="1" si="16"/>
        <v>-1892.2130404504621</v>
      </c>
      <c r="S33" s="187"/>
      <c r="T33" s="190">
        <f t="shared" ca="1" si="17"/>
        <v>-1892.2130404504621</v>
      </c>
      <c r="V33" s="189">
        <f t="shared" ca="1" si="18"/>
        <v>-1715.7818278730847</v>
      </c>
      <c r="W33" s="159" t="str">
        <f t="shared" si="19"/>
        <v>P.016</v>
      </c>
    </row>
    <row r="34" spans="1:23" ht="13">
      <c r="A34" s="194" t="s">
        <v>267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182">
        <v>0</v>
      </c>
      <c r="F34" s="183">
        <f t="shared" ca="1" si="1"/>
        <v>0</v>
      </c>
      <c r="G34" s="183">
        <f t="shared" ref="G34:G39" ca="1" si="20">+E34+F34</f>
        <v>0</v>
      </c>
      <c r="H34" s="184"/>
      <c r="I34" s="185">
        <f t="shared" ca="1" si="3"/>
        <v>-14772.082932603545</v>
      </c>
      <c r="J34" s="186">
        <v>221609.92065837808</v>
      </c>
      <c r="K34" s="186">
        <f t="shared" si="4"/>
        <v>207450.94393522912</v>
      </c>
      <c r="L34" s="182">
        <f t="shared" ref="L34:L39" si="21">+J34-K34</f>
        <v>14158.976723148953</v>
      </c>
      <c r="M34" s="182"/>
      <c r="N34" s="183">
        <v>0</v>
      </c>
      <c r="O34" s="183">
        <v>0</v>
      </c>
      <c r="P34" s="183">
        <f t="shared" ref="P34:P39" si="22">+N34-O34</f>
        <v>0</v>
      </c>
      <c r="Q34" s="182">
        <f t="shared" ca="1" si="7"/>
        <v>-63.044770736897341</v>
      </c>
      <c r="R34" s="187">
        <f t="shared" ref="R34:R39" ca="1" si="23">I34+L34+P34+Q34</f>
        <v>-676.15098019148968</v>
      </c>
      <c r="S34" s="187"/>
      <c r="T34" s="190">
        <f t="shared" ref="T34:T39" ca="1" si="24">+G34+R34</f>
        <v>-676.15098019148968</v>
      </c>
      <c r="U34" s="195"/>
      <c r="V34" s="189">
        <f t="shared" ref="V34:V39" ca="1" si="25">+I34+L34+P34</f>
        <v>-613.10620945459232</v>
      </c>
      <c r="W34" s="159" t="str">
        <f t="shared" si="19"/>
        <v>P.017</v>
      </c>
    </row>
    <row r="35" spans="1:23" ht="13">
      <c r="A35" s="194" t="s">
        <v>268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182">
        <v>0</v>
      </c>
      <c r="F35" s="196">
        <f t="shared" ca="1" si="1"/>
        <v>0</v>
      </c>
      <c r="G35" s="196">
        <f t="shared" ca="1" si="20"/>
        <v>0</v>
      </c>
      <c r="H35" s="197"/>
      <c r="I35" s="185">
        <f t="shared" ca="1" si="3"/>
        <v>-12456.192498255317</v>
      </c>
      <c r="J35" s="186">
        <v>224544.32583524351</v>
      </c>
      <c r="K35" s="198">
        <f t="shared" si="4"/>
        <v>210197.86574279374</v>
      </c>
      <c r="L35" s="199">
        <f t="shared" si="21"/>
        <v>14346.460092449764</v>
      </c>
      <c r="M35" s="199"/>
      <c r="N35" s="196">
        <v>0</v>
      </c>
      <c r="O35" s="196">
        <v>0</v>
      </c>
      <c r="P35" s="196">
        <f t="shared" si="22"/>
        <v>0</v>
      </c>
      <c r="Q35" s="199">
        <f t="shared" ca="1" si="7"/>
        <v>194.37331618837808</v>
      </c>
      <c r="R35" s="200">
        <f t="shared" ca="1" si="23"/>
        <v>2084.640910382825</v>
      </c>
      <c r="S35" s="200"/>
      <c r="T35" s="201">
        <f t="shared" ca="1" si="24"/>
        <v>2084.640910382825</v>
      </c>
      <c r="U35" s="195"/>
      <c r="V35" s="189">
        <f t="shared" ca="1" si="25"/>
        <v>1890.2675941944472</v>
      </c>
      <c r="W35" s="159" t="str">
        <f t="shared" si="19"/>
        <v>P.018</v>
      </c>
    </row>
    <row r="36" spans="1:23" ht="13">
      <c r="A36" s="194" t="s">
        <v>275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182">
        <v>0</v>
      </c>
      <c r="F36" s="196">
        <f t="shared" ca="1" si="1"/>
        <v>0</v>
      </c>
      <c r="G36" s="196">
        <f t="shared" ca="1" si="20"/>
        <v>0</v>
      </c>
      <c r="H36" s="197"/>
      <c r="I36" s="185">
        <f t="shared" ca="1" si="3"/>
        <v>-11771.742549958639</v>
      </c>
      <c r="J36" s="186">
        <v>176159.72295937917</v>
      </c>
      <c r="K36" s="198">
        <f t="shared" si="4"/>
        <v>164904.62476915328</v>
      </c>
      <c r="L36" s="199">
        <f t="shared" si="21"/>
        <v>11255.098190225894</v>
      </c>
      <c r="M36" s="199"/>
      <c r="N36" s="196">
        <v>0</v>
      </c>
      <c r="O36" s="196">
        <v>0</v>
      </c>
      <c r="P36" s="196">
        <f t="shared" si="22"/>
        <v>0</v>
      </c>
      <c r="Q36" s="199">
        <f t="shared" ca="1" si="7"/>
        <v>-53.125746745963035</v>
      </c>
      <c r="R36" s="200">
        <f t="shared" ca="1" si="23"/>
        <v>-569.77010647870827</v>
      </c>
      <c r="S36" s="200"/>
      <c r="T36" s="201">
        <f t="shared" ca="1" si="24"/>
        <v>-569.77010647870827</v>
      </c>
      <c r="U36" s="195"/>
      <c r="V36" s="189">
        <f t="shared" ca="1" si="25"/>
        <v>-516.64435973274522</v>
      </c>
      <c r="W36" s="159" t="str">
        <f t="shared" si="19"/>
        <v>P.019</v>
      </c>
    </row>
    <row r="37" spans="1:23" ht="13">
      <c r="A37" s="194" t="s">
        <v>276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182">
        <v>0</v>
      </c>
      <c r="F37" s="183">
        <f t="shared" ca="1" si="1"/>
        <v>0</v>
      </c>
      <c r="G37" s="183">
        <f t="shared" ca="1" si="20"/>
        <v>0</v>
      </c>
      <c r="H37" s="184"/>
      <c r="I37" s="185">
        <f t="shared" ca="1" si="3"/>
        <v>94579.308716685337</v>
      </c>
      <c r="J37" s="186">
        <v>222659.5630904127</v>
      </c>
      <c r="K37" s="198">
        <f t="shared" si="4"/>
        <v>208433.5232018664</v>
      </c>
      <c r="L37" s="199">
        <f t="shared" si="21"/>
        <v>14226.039888546307</v>
      </c>
      <c r="M37" s="199"/>
      <c r="N37" s="196">
        <v>0</v>
      </c>
      <c r="O37" s="196">
        <v>0</v>
      </c>
      <c r="P37" s="196">
        <f t="shared" si="22"/>
        <v>0</v>
      </c>
      <c r="Q37" s="199">
        <f t="shared" ca="1" si="7"/>
        <v>11188.287040620906</v>
      </c>
      <c r="R37" s="200">
        <f t="shared" ca="1" si="23"/>
        <v>119993.63564585256</v>
      </c>
      <c r="S37" s="200"/>
      <c r="T37" s="201">
        <f t="shared" ca="1" si="24"/>
        <v>119993.63564585256</v>
      </c>
      <c r="U37" s="195"/>
      <c r="V37" s="189">
        <f t="shared" ca="1" si="25"/>
        <v>108805.34860523164</v>
      </c>
      <c r="W37" s="159" t="str">
        <f t="shared" si="19"/>
        <v>P.020</v>
      </c>
    </row>
    <row r="38" spans="1:23" ht="13">
      <c r="A38" s="194" t="s">
        <v>277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182">
        <v>0</v>
      </c>
      <c r="F38" s="183">
        <f t="shared" ca="1" si="1"/>
        <v>0</v>
      </c>
      <c r="G38" s="183">
        <f t="shared" ca="1" si="20"/>
        <v>0</v>
      </c>
      <c r="H38" s="184"/>
      <c r="I38" s="185">
        <f t="shared" ca="1" si="3"/>
        <v>6137.0280425955862</v>
      </c>
      <c r="J38" s="186">
        <v>43053.940382115747</v>
      </c>
      <c r="K38" s="198">
        <f t="shared" si="4"/>
        <v>40303.162177335173</v>
      </c>
      <c r="L38" s="199">
        <f t="shared" si="21"/>
        <v>2750.778204780574</v>
      </c>
      <c r="M38" s="199"/>
      <c r="N38" s="196">
        <v>0</v>
      </c>
      <c r="O38" s="196">
        <v>0</v>
      </c>
      <c r="P38" s="196">
        <f t="shared" si="22"/>
        <v>0</v>
      </c>
      <c r="Q38" s="199">
        <f t="shared" ca="1" si="7"/>
        <v>913.91947851621433</v>
      </c>
      <c r="R38" s="200">
        <f t="shared" ca="1" si="23"/>
        <v>9801.7257258923746</v>
      </c>
      <c r="S38" s="200"/>
      <c r="T38" s="201">
        <f t="shared" ca="1" si="24"/>
        <v>9801.7257258923746</v>
      </c>
      <c r="U38" s="195"/>
      <c r="V38" s="189">
        <f t="shared" ca="1" si="25"/>
        <v>8887.8062473761602</v>
      </c>
      <c r="W38" s="159" t="str">
        <f t="shared" si="19"/>
        <v>P.021</v>
      </c>
    </row>
    <row r="39" spans="1:23" ht="13">
      <c r="A39" s="194" t="s">
        <v>278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182">
        <v>0</v>
      </c>
      <c r="F39" s="183">
        <f t="shared" ca="1" si="1"/>
        <v>0</v>
      </c>
      <c r="G39" s="183">
        <f t="shared" ca="1" si="20"/>
        <v>0</v>
      </c>
      <c r="H39" s="184"/>
      <c r="I39" s="185">
        <f t="shared" ca="1" si="3"/>
        <v>-2189.4796903248607</v>
      </c>
      <c r="J39" s="186">
        <v>32700.951777404996</v>
      </c>
      <c r="K39" s="198">
        <f t="shared" si="4"/>
        <v>30611.640912324874</v>
      </c>
      <c r="L39" s="199">
        <f t="shared" si="21"/>
        <v>2089.3108650801223</v>
      </c>
      <c r="M39" s="199"/>
      <c r="N39" s="196">
        <v>0</v>
      </c>
      <c r="O39" s="196">
        <v>0</v>
      </c>
      <c r="P39" s="196">
        <f t="shared" si="22"/>
        <v>0</v>
      </c>
      <c r="Q39" s="199">
        <f t="shared" ca="1" si="7"/>
        <v>-10.300206595781631</v>
      </c>
      <c r="R39" s="200">
        <f t="shared" ca="1" si="23"/>
        <v>-110.46903184052003</v>
      </c>
      <c r="S39" s="200"/>
      <c r="T39" s="201">
        <f t="shared" ca="1" si="24"/>
        <v>-110.46903184052003</v>
      </c>
      <c r="U39" s="195"/>
      <c r="V39" s="189">
        <f t="shared" ca="1" si="25"/>
        <v>-100.1688252447384</v>
      </c>
      <c r="W39" s="159" t="str">
        <f t="shared" si="19"/>
        <v>P.022</v>
      </c>
    </row>
    <row r="40" spans="1:23" ht="13">
      <c r="A40" s="194" t="s">
        <v>310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182">
        <v>0</v>
      </c>
      <c r="F40" s="183">
        <f t="shared" ca="1" si="1"/>
        <v>0</v>
      </c>
      <c r="G40" s="183">
        <f ca="1">+E40+F40</f>
        <v>0</v>
      </c>
      <c r="H40" s="184"/>
      <c r="I40" s="185">
        <f t="shared" ca="1" si="3"/>
        <v>-126963.85396572924</v>
      </c>
      <c r="J40" s="186">
        <v>273320.66219595348</v>
      </c>
      <c r="K40" s="198">
        <f t="shared" si="4"/>
        <v>255857.81178523629</v>
      </c>
      <c r="L40" s="199">
        <f>+J40-K40</f>
        <v>17462.85041071719</v>
      </c>
      <c r="M40" s="199"/>
      <c r="N40" s="196">
        <v>0</v>
      </c>
      <c r="O40" s="196">
        <v>0</v>
      </c>
      <c r="P40" s="196">
        <f>+N40-O40</f>
        <v>0</v>
      </c>
      <c r="Q40" s="199">
        <f t="shared" ca="1" si="7"/>
        <v>-11259.820171658524</v>
      </c>
      <c r="R40" s="200">
        <f ca="1">I40+L40+P40+Q40</f>
        <v>-120760.82372667058</v>
      </c>
      <c r="S40" s="200"/>
      <c r="T40" s="201">
        <f ca="1">+G40+R40</f>
        <v>-120760.82372667058</v>
      </c>
      <c r="U40" s="195"/>
      <c r="V40" s="189">
        <f ca="1">+I40+L40+P40</f>
        <v>-109501.00355501205</v>
      </c>
      <c r="W40" s="159" t="str">
        <f>A40</f>
        <v>P.023</v>
      </c>
    </row>
    <row r="41" spans="1:23" ht="13">
      <c r="A41" s="194" t="s">
        <v>311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182">
        <v>0</v>
      </c>
      <c r="F41" s="183">
        <f t="shared" ca="1" si="1"/>
        <v>0</v>
      </c>
      <c r="G41" s="183">
        <f ca="1">+E41+F41</f>
        <v>0</v>
      </c>
      <c r="H41" s="184"/>
      <c r="I41" s="185">
        <f t="shared" ca="1" si="3"/>
        <v>5304.7747554126836</v>
      </c>
      <c r="J41" s="186">
        <v>73419.565193351213</v>
      </c>
      <c r="K41" s="198">
        <f t="shared" si="4"/>
        <v>68728.683523848318</v>
      </c>
      <c r="L41" s="199">
        <f>+J41-K41</f>
        <v>4690.8816695028945</v>
      </c>
      <c r="M41" s="199"/>
      <c r="N41" s="196">
        <v>0</v>
      </c>
      <c r="O41" s="196">
        <v>0</v>
      </c>
      <c r="P41" s="196">
        <f>+N41-O41</f>
        <v>0</v>
      </c>
      <c r="Q41" s="199">
        <f t="shared" ca="1" si="7"/>
        <v>1027.8380123309928</v>
      </c>
      <c r="R41" s="200">
        <f ca="1">I41+L41+P41+Q41</f>
        <v>11023.494437246571</v>
      </c>
      <c r="S41" s="200"/>
      <c r="T41" s="201">
        <f ca="1">+G41+R41</f>
        <v>11023.494437246571</v>
      </c>
      <c r="U41" s="195"/>
      <c r="V41" s="189">
        <f ca="1">+I41+L41+P41</f>
        <v>9995.6564249155781</v>
      </c>
      <c r="W41" s="159" t="str">
        <f>A41</f>
        <v>P.024</v>
      </c>
    </row>
    <row r="42" spans="1:23" ht="13">
      <c r="A42" s="194" t="s">
        <v>326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182">
        <v>0</v>
      </c>
      <c r="F42" s="183">
        <f t="shared" ca="1" si="1"/>
        <v>0</v>
      </c>
      <c r="G42" s="183">
        <f ca="1">+E42+F42</f>
        <v>0</v>
      </c>
      <c r="H42" s="197"/>
      <c r="I42" s="185">
        <f t="shared" ca="1" si="3"/>
        <v>-37314.454793177574</v>
      </c>
      <c r="J42" s="186">
        <v>162968.67771034624</v>
      </c>
      <c r="K42" s="198">
        <f t="shared" si="4"/>
        <v>152556.37438273383</v>
      </c>
      <c r="L42" s="199">
        <f>+J42-K42</f>
        <v>10412.303327612404</v>
      </c>
      <c r="M42" s="199"/>
      <c r="N42" s="196">
        <v>0</v>
      </c>
      <c r="O42" s="196">
        <v>0</v>
      </c>
      <c r="P42" s="196">
        <f>+N42-O42</f>
        <v>0</v>
      </c>
      <c r="Q42" s="199">
        <f t="shared" ca="1" si="7"/>
        <v>-2766.3069551760173</v>
      </c>
      <c r="R42" s="200">
        <f ca="1">I42+L42+P42+Q42</f>
        <v>-29668.458420741186</v>
      </c>
      <c r="S42" s="200"/>
      <c r="T42" s="201">
        <f ca="1">+G42+R42</f>
        <v>-29668.458420741186</v>
      </c>
      <c r="U42" s="195"/>
      <c r="V42" s="189">
        <f ca="1">+I42+L42+P42</f>
        <v>-26902.15146556517</v>
      </c>
      <c r="W42" s="159" t="str">
        <f>A42</f>
        <v>P.025</v>
      </c>
    </row>
    <row r="43" spans="1:23" ht="13">
      <c r="A43" s="194" t="s">
        <v>345</v>
      </c>
      <c r="B43" s="156" t="s">
        <v>117</v>
      </c>
      <c r="C43" s="621" t="str">
        <f t="shared" ca="1" si="0"/>
        <v>Tulsa Southeast - E. 61st St 138 kV Rebuild</v>
      </c>
      <c r="D43" s="181">
        <f t="shared" ca="1" si="0"/>
        <v>2019</v>
      </c>
      <c r="E43" s="182">
        <v>0</v>
      </c>
      <c r="F43" s="183">
        <f t="shared" ca="1" si="1"/>
        <v>0</v>
      </c>
      <c r="G43" s="183">
        <f ca="1">+E43+F43</f>
        <v>0</v>
      </c>
      <c r="H43" s="197"/>
      <c r="I43" s="185">
        <f t="shared" ca="1" si="3"/>
        <v>48910.93656576809</v>
      </c>
      <c r="J43" s="186">
        <v>280481.45781944925</v>
      </c>
      <c r="K43" s="198">
        <f t="shared" si="4"/>
        <v>262561.0938721039</v>
      </c>
      <c r="L43" s="199">
        <f>+J43-K43</f>
        <v>17920.363947345351</v>
      </c>
      <c r="M43" s="199"/>
      <c r="N43" s="196">
        <v>0</v>
      </c>
      <c r="O43" s="196">
        <v>0</v>
      </c>
      <c r="P43" s="196">
        <f>+N43-O43</f>
        <v>0</v>
      </c>
      <c r="Q43" s="199">
        <f t="shared" ca="1" si="7"/>
        <v>6872.1600824203942</v>
      </c>
      <c r="R43" s="200">
        <f ca="1">I43+L43+P43+Q43</f>
        <v>73703.460595533834</v>
      </c>
      <c r="S43" s="200"/>
      <c r="T43" s="201">
        <f ca="1">+G43+R43</f>
        <v>73703.460595533834</v>
      </c>
      <c r="U43" s="195"/>
      <c r="V43" s="189">
        <f ca="1">+I43+L43+P43</f>
        <v>66831.300513113441</v>
      </c>
      <c r="W43" s="159" t="str">
        <f>A43</f>
        <v>P.026</v>
      </c>
    </row>
    <row r="44" spans="1:23" ht="13">
      <c r="A44" s="194" t="s">
        <v>346</v>
      </c>
      <c r="B44" s="156" t="s">
        <v>117</v>
      </c>
      <c r="C44" s="622" t="str">
        <f t="shared" ca="1" si="0"/>
        <v>Broken Arrow North-Lynn Lane East 138 kV</v>
      </c>
      <c r="D44" s="181">
        <f t="shared" ca="1" si="0"/>
        <v>2019</v>
      </c>
      <c r="E44" s="182">
        <v>0</v>
      </c>
      <c r="F44" s="183">
        <f t="shared" ca="1" si="1"/>
        <v>0</v>
      </c>
      <c r="G44" s="183">
        <f ca="1">+E44+F44</f>
        <v>0</v>
      </c>
      <c r="H44" s="197"/>
      <c r="I44" s="185">
        <f t="shared" ca="1" si="3"/>
        <v>30789.624245765095</v>
      </c>
      <c r="J44" s="186">
        <v>230012.66047295602</v>
      </c>
      <c r="K44" s="198">
        <f t="shared" si="4"/>
        <v>215316.8206116776</v>
      </c>
      <c r="L44" s="199">
        <f>+J44-K44</f>
        <v>14695.839861278422</v>
      </c>
      <c r="M44" s="199"/>
      <c r="N44" s="196">
        <v>0</v>
      </c>
      <c r="O44" s="196">
        <v>0</v>
      </c>
      <c r="P44" s="196">
        <f>+N44-O44</f>
        <v>0</v>
      </c>
      <c r="Q44" s="199">
        <f ca="1">+V44/$V$47 * $Q$47</f>
        <v>4677.2004789201419</v>
      </c>
      <c r="R44" s="200">
        <f ca="1">I44+L44+P44+Q44</f>
        <v>50162.664585963663</v>
      </c>
      <c r="S44" s="200"/>
      <c r="T44" s="201">
        <f ca="1">+G44+R44</f>
        <v>50162.664585963663</v>
      </c>
      <c r="U44" s="195"/>
      <c r="V44" s="189">
        <f ca="1">+I44+L44+P44</f>
        <v>45485.464107043517</v>
      </c>
      <c r="W44" s="159" t="str">
        <f>A44</f>
        <v>P.027</v>
      </c>
    </row>
    <row r="45" spans="1:23" ht="13">
      <c r="A45" s="194"/>
      <c r="B45" s="156"/>
      <c r="C45" s="622"/>
      <c r="D45" s="181"/>
      <c r="E45" s="182"/>
      <c r="F45" s="183"/>
      <c r="G45" s="183"/>
      <c r="H45" s="197"/>
      <c r="I45" s="185"/>
      <c r="J45" s="186"/>
      <c r="K45" s="198"/>
      <c r="L45" s="199"/>
      <c r="M45" s="199"/>
      <c r="N45" s="196"/>
      <c r="O45" s="196"/>
      <c r="P45" s="196"/>
      <c r="Q45" s="199"/>
      <c r="R45" s="200"/>
      <c r="S45" s="200"/>
      <c r="T45" s="201"/>
      <c r="U45" s="195"/>
      <c r="V45" s="189"/>
      <c r="W45" s="159"/>
    </row>
    <row r="46" spans="1:23" ht="13">
      <c r="A46" s="159"/>
      <c r="B46" s="159"/>
      <c r="C46" s="159"/>
      <c r="D46" s="156"/>
      <c r="E46" s="200"/>
      <c r="F46" s="200"/>
      <c r="G46" s="200"/>
      <c r="H46" s="187"/>
      <c r="I46" s="200"/>
      <c r="J46" s="200"/>
      <c r="K46" s="202"/>
      <c r="L46" s="200"/>
      <c r="M46" s="200"/>
      <c r="N46" s="200"/>
      <c r="O46" s="200"/>
      <c r="P46" s="200"/>
      <c r="Q46" s="200"/>
      <c r="R46" s="200"/>
      <c r="S46" s="187"/>
      <c r="T46" s="201"/>
      <c r="V46" s="179"/>
    </row>
    <row r="47" spans="1:23" ht="13">
      <c r="A47" s="159"/>
      <c r="B47" s="159"/>
      <c r="C47" s="203" t="s">
        <v>177</v>
      </c>
      <c r="D47" s="156"/>
      <c r="E47" s="187">
        <f>SUM(E18:E46)</f>
        <v>0</v>
      </c>
      <c r="F47" s="187">
        <f ca="1">SUM(F18:F46)</f>
        <v>0</v>
      </c>
      <c r="G47" s="187">
        <f ca="1">SUM(G18:G46)</f>
        <v>0</v>
      </c>
      <c r="H47" s="187"/>
      <c r="I47" s="187">
        <f ca="1">SUM(I18:I46)</f>
        <v>-391936.04140913865</v>
      </c>
      <c r="J47" s="187">
        <f>SUM(J18:J46)</f>
        <v>7501405.5980323181</v>
      </c>
      <c r="K47" s="187">
        <v>7022130</v>
      </c>
      <c r="L47" s="187">
        <f>SUM(L18:L46)</f>
        <v>479275.59803231829</v>
      </c>
      <c r="M47" s="187">
        <f>SUM(M18:M42)</f>
        <v>0</v>
      </c>
      <c r="N47" s="187">
        <f>SUM(N18:N46)</f>
        <v>0</v>
      </c>
      <c r="O47" s="187">
        <f>SUM(O18:O46)</f>
        <v>0</v>
      </c>
      <c r="P47" s="187">
        <f>SUM(P18:P46)</f>
        <v>0</v>
      </c>
      <c r="Q47" s="187">
        <v>8980.9925893083564</v>
      </c>
      <c r="R47" s="187">
        <f ca="1">SUM(R18:R46)</f>
        <v>96320.549212488084</v>
      </c>
      <c r="S47" s="187">
        <f>SUM(S18:S42)</f>
        <v>0</v>
      </c>
      <c r="T47" s="190">
        <f ca="1">SUM(T18:T46)</f>
        <v>96320.549212488084</v>
      </c>
      <c r="V47" s="190">
        <f ca="1">SUM(V18:V46)</f>
        <v>87339.556623179742</v>
      </c>
      <c r="W47" s="204" t="s">
        <v>270</v>
      </c>
    </row>
    <row r="48" spans="1:23" ht="13.5" thickBot="1">
      <c r="A48" s="159"/>
      <c r="B48" s="159"/>
      <c r="C48" s="205"/>
      <c r="D48" s="159"/>
      <c r="E48" s="206"/>
      <c r="F48" s="207" t="str">
        <f ca="1">IF(F47=PSO.WS.F.BPU.ATRR.Projected!O19,"","Error")</f>
        <v/>
      </c>
      <c r="G48" s="207"/>
      <c r="H48" s="159"/>
      <c r="I48" s="208" t="str">
        <f ca="1">IF(ROUND(I47,0)=ROUND('PSO.WS.G.BPU.ATRR.True-up'!N19,0),"","Error")</f>
        <v/>
      </c>
      <c r="J48" s="209"/>
      <c r="K48" s="210" t="str">
        <f>IF(K47=SUM(K18:K46),"","Error -- check allocations above).")</f>
        <v/>
      </c>
      <c r="L48" s="211"/>
      <c r="M48" s="211"/>
      <c r="N48" s="211"/>
      <c r="O48" s="211"/>
      <c r="P48" s="211"/>
      <c r="Q48" s="210" t="str">
        <f ca="1">IF(Q47=SUM(Q18:Q46),"","Error -- check allocations above).")</f>
        <v/>
      </c>
      <c r="R48" s="187"/>
      <c r="S48" s="187"/>
      <c r="T48" s="187"/>
      <c r="V48" s="212"/>
      <c r="W48" s="204"/>
    </row>
    <row r="49" spans="1:22" ht="12.5">
      <c r="A49" s="159"/>
      <c r="B49" s="159"/>
      <c r="C49" s="213" t="s">
        <v>217</v>
      </c>
      <c r="D49" s="159"/>
      <c r="E49" s="187"/>
      <c r="F49" s="187"/>
      <c r="G49" s="187"/>
      <c r="H49" s="159"/>
      <c r="I49" s="214"/>
      <c r="J49" s="214"/>
      <c r="K49" s="159"/>
      <c r="L49" s="159"/>
      <c r="M49" s="159"/>
      <c r="N49" s="211"/>
      <c r="O49" s="211"/>
      <c r="P49" s="211"/>
      <c r="Q49" s="211"/>
      <c r="R49" s="187"/>
      <c r="S49" s="187"/>
      <c r="T49" s="187"/>
    </row>
    <row r="50" spans="1:22" ht="12.5">
      <c r="A50" s="159"/>
      <c r="B50" s="159"/>
      <c r="C50" s="213"/>
      <c r="D50" s="159"/>
      <c r="E50" s="187"/>
      <c r="F50" s="187"/>
      <c r="G50" s="187"/>
      <c r="H50" s="159"/>
      <c r="I50" s="215"/>
      <c r="J50" s="216"/>
      <c r="K50" s="186"/>
      <c r="L50" s="159"/>
      <c r="M50" s="159"/>
      <c r="N50" s="211"/>
      <c r="O50" s="211"/>
      <c r="P50" s="211"/>
      <c r="Q50" s="211"/>
      <c r="R50" s="211"/>
      <c r="S50" s="159"/>
      <c r="T50" s="159"/>
    </row>
    <row r="51" spans="1:22" ht="12.5">
      <c r="E51" s="217"/>
      <c r="F51" s="217"/>
      <c r="G51" s="217"/>
      <c r="I51" s="217"/>
      <c r="J51" s="218"/>
      <c r="N51" s="219"/>
      <c r="O51" s="219"/>
      <c r="P51" s="219"/>
      <c r="Q51" s="220"/>
      <c r="R51" s="219"/>
    </row>
    <row r="52" spans="1:22" ht="12.5">
      <c r="E52" s="217"/>
      <c r="F52" s="217"/>
      <c r="G52" s="217"/>
    </row>
    <row r="53" spans="1:22" ht="12.5">
      <c r="A53" s="221" t="s">
        <v>188</v>
      </c>
      <c r="B53" s="222"/>
      <c r="C53" s="222"/>
      <c r="D53" s="222"/>
      <c r="E53" s="223"/>
      <c r="F53" s="223"/>
      <c r="G53" s="223"/>
      <c r="H53" s="222"/>
      <c r="I53" s="222"/>
      <c r="J53" s="222"/>
      <c r="K53" s="222"/>
      <c r="L53" s="222"/>
      <c r="M53" s="222"/>
      <c r="N53" s="222"/>
      <c r="O53" s="224"/>
      <c r="V53" s="148" t="s">
        <v>201</v>
      </c>
    </row>
    <row r="54" spans="1:22" ht="15.5">
      <c r="A54" s="225" t="s">
        <v>191</v>
      </c>
      <c r="B54" s="195"/>
      <c r="C54" s="226" t="str">
        <f ca="1">RIGHT(CELL("address",P.001!D7),4)</f>
        <v>$D$7</v>
      </c>
      <c r="D54" s="226" t="str">
        <f ca="1">RIGHT(CELL("address",P.001!D11),4)</f>
        <v>D$11</v>
      </c>
      <c r="E54" s="226" t="str">
        <f ca="1">RIGHT(CELL("address",P.001!N5),4)</f>
        <v>$N$5</v>
      </c>
      <c r="F54" s="226" t="str">
        <f ca="1">RIGHT(CELL("address",P.001!N7),4)</f>
        <v>$N$7</v>
      </c>
      <c r="G54" s="195"/>
      <c r="H54" s="227"/>
      <c r="I54" s="226" t="str">
        <f ca="1">RIGHT(CELL("address",P.001!M89),4)</f>
        <v>M$89</v>
      </c>
      <c r="J54" s="226"/>
      <c r="K54" s="195"/>
      <c r="L54" s="195"/>
      <c r="M54" s="195"/>
      <c r="N54" s="226" t="str">
        <f ca="1">RIGHT(CELL("address",P.001!N87),4)</f>
        <v>N$87</v>
      </c>
      <c r="O54" s="228" t="str">
        <f ca="1">RIGHT(CELL("address",P.001!N88),4)</f>
        <v>N$88</v>
      </c>
      <c r="P54" s="178" t="s">
        <v>190</v>
      </c>
      <c r="V54" s="148" t="s">
        <v>202</v>
      </c>
    </row>
    <row r="55" spans="1:22" ht="12.5">
      <c r="A55" s="229" t="s">
        <v>192</v>
      </c>
      <c r="B55" s="230"/>
      <c r="C55" s="230"/>
      <c r="D55" s="230"/>
      <c r="E55" s="231"/>
      <c r="F55" s="231"/>
      <c r="G55" s="231"/>
      <c r="H55" s="230"/>
      <c r="I55" s="230"/>
      <c r="J55" s="230"/>
      <c r="K55" s="230"/>
      <c r="L55" s="230"/>
      <c r="M55" s="230"/>
      <c r="N55" s="230"/>
      <c r="O55" s="232"/>
      <c r="V55" s="148" t="s">
        <v>203</v>
      </c>
    </row>
    <row r="56" spans="1:22" ht="12.5">
      <c r="E56" s="217"/>
      <c r="F56" s="217"/>
      <c r="G56" s="217"/>
      <c r="V56" s="148" t="s">
        <v>204</v>
      </c>
    </row>
    <row r="57" spans="1:22" ht="12.5">
      <c r="A57" s="233" t="s">
        <v>244</v>
      </c>
      <c r="B57" s="233" t="s">
        <v>245</v>
      </c>
      <c r="E57" s="217"/>
      <c r="F57" s="217"/>
      <c r="G57" s="217"/>
      <c r="V57" s="234" t="s">
        <v>225</v>
      </c>
    </row>
    <row r="58" spans="1:22" ht="12.5">
      <c r="B58" s="233" t="s">
        <v>248</v>
      </c>
      <c r="E58" s="217"/>
      <c r="F58" s="217"/>
      <c r="G58" s="217"/>
    </row>
    <row r="59" spans="1:22" ht="12.5">
      <c r="B59" s="233" t="s">
        <v>249</v>
      </c>
      <c r="E59" s="217"/>
      <c r="F59" s="217"/>
      <c r="G59" s="217"/>
    </row>
    <row r="60" spans="1:22" ht="12.5">
      <c r="B60" s="233" t="s">
        <v>246</v>
      </c>
      <c r="E60" s="217"/>
      <c r="F60" s="217"/>
      <c r="G60" s="217"/>
    </row>
    <row r="61" spans="1:22" ht="12.5">
      <c r="B61" s="233" t="s">
        <v>247</v>
      </c>
      <c r="E61" s="217"/>
      <c r="F61" s="217"/>
      <c r="G61" s="217"/>
      <c r="K61" s="235"/>
    </row>
    <row r="62" spans="1:22" ht="12.5">
      <c r="B62" s="233" t="s">
        <v>250</v>
      </c>
      <c r="E62" s="217"/>
      <c r="F62" s="217"/>
      <c r="G62" s="217"/>
    </row>
    <row r="65" spans="5:10" ht="12.75" customHeight="1">
      <c r="E65" s="160" t="s">
        <v>330</v>
      </c>
      <c r="F65" s="160" t="s">
        <v>331</v>
      </c>
      <c r="G65" s="160" t="s">
        <v>332</v>
      </c>
      <c r="H65" s="160"/>
      <c r="I65" s="236"/>
      <c r="J65" s="236"/>
    </row>
    <row r="67" spans="5:10" ht="12.75" customHeight="1">
      <c r="E67" s="215">
        <v>108452.59046922832</v>
      </c>
      <c r="F67" s="215">
        <v>118612.83535736376</v>
      </c>
      <c r="G67" s="237">
        <f t="shared" ref="G67:G91" si="26">+E67-F67</f>
        <v>-10160.244888135436</v>
      </c>
      <c r="H67" s="237"/>
      <c r="I67" s="238"/>
      <c r="J67" s="239"/>
    </row>
    <row r="68" spans="5:10" ht="12.75" customHeight="1">
      <c r="E68" s="215">
        <v>563423.59576338867</v>
      </c>
      <c r="F68" s="215">
        <v>616009.3144662733</v>
      </c>
      <c r="G68" s="237">
        <f t="shared" si="26"/>
        <v>-52585.718702884624</v>
      </c>
      <c r="H68" s="237"/>
      <c r="I68" s="238"/>
      <c r="J68" s="239"/>
    </row>
    <row r="69" spans="5:10" ht="12.75" customHeight="1">
      <c r="E69" s="215">
        <v>1385898.5101974602</v>
      </c>
      <c r="F69" s="215">
        <v>1515588.4402280932</v>
      </c>
      <c r="G69" s="237">
        <f t="shared" si="26"/>
        <v>-129689.930030633</v>
      </c>
      <c r="H69" s="237"/>
      <c r="I69" s="238"/>
      <c r="J69" s="239"/>
    </row>
    <row r="70" spans="5:10" ht="12.75" customHeight="1">
      <c r="E70" s="215">
        <v>1732706.9557914322</v>
      </c>
      <c r="F70" s="215">
        <v>1895603.111111111</v>
      </c>
      <c r="G70" s="237">
        <f t="shared" si="26"/>
        <v>-162896.15531967883</v>
      </c>
      <c r="H70" s="237"/>
      <c r="I70" s="238"/>
      <c r="J70" s="239"/>
    </row>
    <row r="71" spans="5:10" ht="12.75" customHeight="1">
      <c r="E71" s="215">
        <v>44166.093531237391</v>
      </c>
      <c r="F71" s="215">
        <v>48199.620253747162</v>
      </c>
      <c r="G71" s="237">
        <f t="shared" si="26"/>
        <v>-4033.5267225097705</v>
      </c>
      <c r="H71" s="237"/>
      <c r="I71" s="238"/>
      <c r="J71" s="239"/>
    </row>
    <row r="72" spans="5:10" ht="12.75" customHeight="1">
      <c r="E72" s="215">
        <v>179869.75016192306</v>
      </c>
      <c r="F72" s="215">
        <v>196553.85018087178</v>
      </c>
      <c r="G72" s="237">
        <f t="shared" si="26"/>
        <v>-16684.100018948724</v>
      </c>
      <c r="H72" s="237"/>
      <c r="I72" s="238"/>
      <c r="J72" s="239"/>
    </row>
    <row r="73" spans="5:10" ht="12.75" customHeight="1">
      <c r="E73" s="215">
        <v>9943.4463018575989</v>
      </c>
      <c r="F73" s="215">
        <v>10864.165928547483</v>
      </c>
      <c r="G73" s="237">
        <f t="shared" si="26"/>
        <v>-920.71962668988454</v>
      </c>
      <c r="H73" s="237"/>
      <c r="I73" s="238"/>
      <c r="J73" s="239"/>
    </row>
    <row r="74" spans="5:10" ht="12.75" customHeight="1">
      <c r="E74" s="215">
        <v>6401.6194166931018</v>
      </c>
      <c r="F74" s="215">
        <v>6986.5540517513546</v>
      </c>
      <c r="G74" s="237">
        <f t="shared" si="26"/>
        <v>-584.93463505825275</v>
      </c>
      <c r="H74" s="237"/>
      <c r="I74" s="238"/>
      <c r="J74" s="239"/>
    </row>
    <row r="75" spans="5:10" ht="12.75" customHeight="1">
      <c r="E75" s="215">
        <v>8441.9635566451543</v>
      </c>
      <c r="F75" s="215">
        <v>9219.7957260985368</v>
      </c>
      <c r="G75" s="237">
        <f t="shared" si="26"/>
        <v>-777.83216945338245</v>
      </c>
      <c r="H75" s="237"/>
      <c r="I75" s="238"/>
      <c r="J75" s="239"/>
    </row>
    <row r="76" spans="5:10" ht="12.75" customHeight="1">
      <c r="E76" s="215">
        <v>11848.855149661711</v>
      </c>
      <c r="F76" s="215">
        <v>12963.911111111111</v>
      </c>
      <c r="G76" s="237">
        <f t="shared" si="26"/>
        <v>-1115.0559614493995</v>
      </c>
      <c r="H76" s="237"/>
      <c r="I76" s="238"/>
      <c r="J76" s="239"/>
    </row>
    <row r="77" spans="5:10" ht="12.75" customHeight="1">
      <c r="E77" s="215">
        <v>175500.68121965264</v>
      </c>
      <c r="F77" s="215">
        <v>192128.21377777777</v>
      </c>
      <c r="G77" s="237">
        <f t="shared" si="26"/>
        <v>-16627.532558125124</v>
      </c>
      <c r="H77" s="237"/>
      <c r="I77" s="238"/>
      <c r="J77" s="239"/>
    </row>
    <row r="78" spans="5:10" ht="12.75" customHeight="1">
      <c r="E78" s="215">
        <v>426952.93022607185</v>
      </c>
      <c r="F78" s="215">
        <v>467887.49199999997</v>
      </c>
      <c r="G78" s="237">
        <f t="shared" si="26"/>
        <v>-40934.561773928115</v>
      </c>
      <c r="H78" s="237"/>
      <c r="I78" s="238"/>
      <c r="J78" s="239"/>
    </row>
    <row r="79" spans="5:10" ht="12.75" customHeight="1">
      <c r="E79" s="215">
        <v>2821.8344922068077</v>
      </c>
      <c r="F79" s="215">
        <v>3091.0444444444443</v>
      </c>
      <c r="G79" s="237">
        <f t="shared" si="26"/>
        <v>-269.20995223763657</v>
      </c>
      <c r="H79" s="237"/>
      <c r="I79" s="238"/>
      <c r="J79" s="239"/>
    </row>
    <row r="80" spans="5:10" ht="12.75" customHeight="1">
      <c r="E80" s="215">
        <v>124772.2053766459</v>
      </c>
      <c r="F80" s="215">
        <v>136430.26666666666</v>
      </c>
      <c r="G80" s="237">
        <f t="shared" si="26"/>
        <v>-11658.061290020763</v>
      </c>
      <c r="H80" s="237"/>
      <c r="I80" s="238"/>
      <c r="J80" s="239"/>
    </row>
    <row r="81" spans="5:10" ht="12.75" customHeight="1">
      <c r="E81" s="215">
        <v>295431.5183187396</v>
      </c>
      <c r="F81" s="215">
        <v>323935.0793333333</v>
      </c>
      <c r="G81" s="237">
        <f t="shared" si="26"/>
        <v>-28503.561014593695</v>
      </c>
      <c r="H81" s="237"/>
      <c r="I81" s="238"/>
      <c r="J81" s="239"/>
    </row>
    <row r="82" spans="5:10" ht="12.75" customHeight="1">
      <c r="E82" s="215">
        <v>674633.13832799566</v>
      </c>
      <c r="F82" s="215">
        <v>740035.4</v>
      </c>
      <c r="G82" s="237">
        <f t="shared" si="26"/>
        <v>-65402.261672004359</v>
      </c>
      <c r="H82" s="237"/>
      <c r="I82" s="238"/>
      <c r="J82" s="239"/>
    </row>
    <row r="83" spans="5:10" ht="12.75" customHeight="1">
      <c r="E83" s="215">
        <v>229518.46356971579</v>
      </c>
      <c r="F83" s="215">
        <v>251897.51111111112</v>
      </c>
      <c r="G83" s="237">
        <f t="shared" si="26"/>
        <v>-22379.047541395325</v>
      </c>
      <c r="H83" s="237"/>
      <c r="I83" s="238"/>
      <c r="J83" s="239"/>
    </row>
    <row r="84" spans="5:10" ht="12.75" customHeight="1">
      <c r="E84" s="215">
        <v>227656.2696364547</v>
      </c>
      <c r="F84" s="215">
        <v>249645.70777777777</v>
      </c>
      <c r="G84" s="237">
        <f t="shared" si="26"/>
        <v>-21989.438141323073</v>
      </c>
      <c r="H84" s="237"/>
      <c r="I84" s="238"/>
      <c r="J84" s="239"/>
    </row>
    <row r="85" spans="5:10" ht="12.75" customHeight="1">
      <c r="E85" s="215">
        <v>185741.34290994913</v>
      </c>
      <c r="F85" s="215">
        <v>205998.2169756256</v>
      </c>
      <c r="G85" s="237">
        <f t="shared" si="26"/>
        <v>-20256.874065676471</v>
      </c>
      <c r="H85" s="237"/>
      <c r="I85" s="238"/>
      <c r="J85" s="239"/>
    </row>
    <row r="86" spans="5:10" ht="12.75" customHeight="1">
      <c r="E86" s="215">
        <v>78830.35648290487</v>
      </c>
      <c r="F86" s="215">
        <v>87696.739331146033</v>
      </c>
      <c r="G86" s="237">
        <f t="shared" si="26"/>
        <v>-8866.3828482411627</v>
      </c>
      <c r="H86" s="237"/>
      <c r="I86" s="238"/>
      <c r="J86" s="239"/>
    </row>
    <row r="87" spans="5:10" ht="12.75" customHeight="1">
      <c r="E87" s="215">
        <v>36514.867050668458</v>
      </c>
      <c r="F87" s="215">
        <v>40500.711549338856</v>
      </c>
      <c r="G87" s="237">
        <f t="shared" si="26"/>
        <v>-3985.844498670398</v>
      </c>
      <c r="H87" s="237"/>
      <c r="I87" s="238"/>
      <c r="J87" s="239"/>
    </row>
    <row r="88" spans="5:10" ht="12.75" customHeight="1">
      <c r="E88" s="215">
        <v>17161.945194330583</v>
      </c>
      <c r="F88" s="215">
        <v>19038.576480221469</v>
      </c>
      <c r="G88" s="237">
        <f t="shared" si="26"/>
        <v>-1876.6312858908859</v>
      </c>
      <c r="H88" s="237"/>
      <c r="I88" s="238"/>
      <c r="J88" s="239"/>
    </row>
    <row r="89" spans="5:10" ht="12.75" customHeight="1">
      <c r="E89" s="215">
        <v>125057.12522754009</v>
      </c>
      <c r="F89" s="215">
        <v>138731.92205669577</v>
      </c>
      <c r="G89" s="237">
        <f t="shared" si="26"/>
        <v>-13674.796829155675</v>
      </c>
      <c r="H89" s="237"/>
      <c r="I89" s="238"/>
      <c r="J89" s="239"/>
    </row>
    <row r="90" spans="5:10" ht="12.75" customHeight="1">
      <c r="E90" s="215">
        <v>73430.617962627584</v>
      </c>
      <c r="F90" s="215">
        <v>81460.13871045578</v>
      </c>
      <c r="G90" s="237">
        <f t="shared" si="26"/>
        <v>-8029.5207478281955</v>
      </c>
      <c r="H90" s="237"/>
      <c r="I90" s="238"/>
      <c r="J90" s="239"/>
    </row>
    <row r="91" spans="5:10" ht="12.75" customHeight="1">
      <c r="E91" s="215">
        <v>85528.382607811436</v>
      </c>
      <c r="F91" s="215">
        <v>94880.774589956171</v>
      </c>
      <c r="G91" s="237">
        <f t="shared" si="26"/>
        <v>-9352.3919821447344</v>
      </c>
      <c r="H91" s="237"/>
      <c r="I91" s="238"/>
      <c r="J91" s="239"/>
    </row>
    <row r="92" spans="5:10" ht="12.75" customHeight="1">
      <c r="E92" s="237"/>
      <c r="F92" s="237"/>
      <c r="H92" s="237"/>
      <c r="I92" s="237"/>
      <c r="J92" s="237"/>
    </row>
    <row r="93" spans="5:10" ht="12.75" customHeight="1">
      <c r="E93" s="237">
        <f>SUM(E67:E92)</f>
        <v>6810705.0589428414</v>
      </c>
      <c r="F93" s="237">
        <f>SUM(F67:F92)</f>
        <v>7463959.3932195175</v>
      </c>
      <c r="G93" s="237">
        <f>SUM(G67:G92)</f>
        <v>-653254.33427667688</v>
      </c>
      <c r="H93" s="237"/>
      <c r="I93" s="237"/>
      <c r="J93" s="237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8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7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9408.7099366610164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9408.7099366610164</v>
      </c>
      <c r="O6" s="233"/>
      <c r="P6" s="233"/>
    </row>
    <row r="7" spans="1:16" ht="13.5" thickBot="1">
      <c r="C7" s="432" t="s">
        <v>46</v>
      </c>
      <c r="D7" s="433" t="s">
        <v>214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86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84424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IF(D10=0,0,ROUND(D10/D13,0))</f>
        <v>1876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2007</v>
      </c>
      <c r="D17" s="474">
        <v>84424</v>
      </c>
      <c r="E17" s="475">
        <v>0</v>
      </c>
      <c r="F17" s="474">
        <v>84424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2008</v>
      </c>
      <c r="D18" s="480">
        <v>84424</v>
      </c>
      <c r="E18" s="481">
        <v>1508</v>
      </c>
      <c r="F18" s="480">
        <v>82916</v>
      </c>
      <c r="G18" s="481">
        <v>0</v>
      </c>
      <c r="H18" s="482">
        <v>0</v>
      </c>
      <c r="I18" s="476">
        <f t="shared" si="0"/>
        <v>0</v>
      </c>
      <c r="J18" s="476"/>
      <c r="K18" s="477">
        <v>0</v>
      </c>
      <c r="L18" s="479">
        <f t="shared" si="1"/>
        <v>0</v>
      </c>
      <c r="M18" s="477">
        <v>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2009</v>
      </c>
      <c r="D19" s="480">
        <v>82916</v>
      </c>
      <c r="E19" s="481">
        <v>1508</v>
      </c>
      <c r="F19" s="480">
        <v>81408</v>
      </c>
      <c r="G19" s="481">
        <v>0</v>
      </c>
      <c r="H19" s="482">
        <v>0</v>
      </c>
      <c r="I19" s="476">
        <f t="shared" si="0"/>
        <v>0</v>
      </c>
      <c r="J19" s="476"/>
      <c r="K19" s="477">
        <v>0</v>
      </c>
      <c r="L19" s="479">
        <f t="shared" si="1"/>
        <v>0</v>
      </c>
      <c r="M19" s="477">
        <v>0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2010</v>
      </c>
      <c r="D20" s="480">
        <v>81408</v>
      </c>
      <c r="E20" s="481">
        <v>1508</v>
      </c>
      <c r="F20" s="480">
        <v>79900</v>
      </c>
      <c r="G20" s="481">
        <v>13037.291488737637</v>
      </c>
      <c r="H20" s="482">
        <v>13037.291488737637</v>
      </c>
      <c r="I20" s="476">
        <v>0</v>
      </c>
      <c r="J20" s="476"/>
      <c r="K20" s="541">
        <f t="shared" ref="K20:K25" si="5">G20</f>
        <v>13037.291488737637</v>
      </c>
      <c r="L20" s="542">
        <f t="shared" si="1"/>
        <v>0</v>
      </c>
      <c r="M20" s="541">
        <f t="shared" ref="M20:M25" si="6">H20</f>
        <v>13037.291488737637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4"/>
        <v/>
      </c>
      <c r="C21" s="473">
        <f>IF(D11="","-",+C20+1)</f>
        <v>2011</v>
      </c>
      <c r="D21" s="480">
        <v>79900</v>
      </c>
      <c r="E21" s="481">
        <v>1655</v>
      </c>
      <c r="F21" s="480">
        <v>78245</v>
      </c>
      <c r="G21" s="481">
        <v>13903.733792156472</v>
      </c>
      <c r="H21" s="482">
        <v>13903.733792156472</v>
      </c>
      <c r="I21" s="476">
        <f t="shared" si="0"/>
        <v>0</v>
      </c>
      <c r="J21" s="476"/>
      <c r="K21" s="477">
        <f t="shared" si="5"/>
        <v>13903.733792156472</v>
      </c>
      <c r="L21" s="551">
        <f t="shared" si="1"/>
        <v>0</v>
      </c>
      <c r="M21" s="477">
        <f t="shared" si="6"/>
        <v>13903.733792156472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4"/>
        <v/>
      </c>
      <c r="C22" s="473">
        <f>IF(D11="","-",+C21+1)</f>
        <v>2012</v>
      </c>
      <c r="D22" s="480">
        <v>78245</v>
      </c>
      <c r="E22" s="481">
        <v>1624</v>
      </c>
      <c r="F22" s="480">
        <v>76621</v>
      </c>
      <c r="G22" s="481">
        <v>12290.159159207155</v>
      </c>
      <c r="H22" s="482">
        <v>12290.159159207155</v>
      </c>
      <c r="I22" s="476">
        <f t="shared" si="0"/>
        <v>0</v>
      </c>
      <c r="J22" s="476"/>
      <c r="K22" s="477">
        <f t="shared" si="5"/>
        <v>12290.159159207155</v>
      </c>
      <c r="L22" s="551">
        <f t="shared" si="1"/>
        <v>0</v>
      </c>
      <c r="M22" s="477">
        <f t="shared" si="6"/>
        <v>12290.159159207155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4"/>
        <v/>
      </c>
      <c r="C23" s="473">
        <f>IF(D11="","-",+C22+1)</f>
        <v>2013</v>
      </c>
      <c r="D23" s="480">
        <v>76621</v>
      </c>
      <c r="E23" s="481">
        <v>1624</v>
      </c>
      <c r="F23" s="480">
        <v>74997</v>
      </c>
      <c r="G23" s="481">
        <v>12334.078606810854</v>
      </c>
      <c r="H23" s="482">
        <v>12334.078606810854</v>
      </c>
      <c r="I23" s="476">
        <v>0</v>
      </c>
      <c r="J23" s="476"/>
      <c r="K23" s="477">
        <f t="shared" si="5"/>
        <v>12334.078606810854</v>
      </c>
      <c r="L23" s="551">
        <f t="shared" ref="L23:L28" si="7">IF(K23&lt;&gt;0,+G23-K23,0)</f>
        <v>0</v>
      </c>
      <c r="M23" s="477">
        <f t="shared" si="6"/>
        <v>12334.078606810854</v>
      </c>
      <c r="N23" s="479">
        <f t="shared" ref="N23:N28" si="8">IF(M23&lt;&gt;0,+H23-M23,0)</f>
        <v>0</v>
      </c>
      <c r="O23" s="479">
        <f t="shared" ref="O23:O28" si="9">+N23-L23</f>
        <v>0</v>
      </c>
      <c r="P23" s="243"/>
    </row>
    <row r="24" spans="2:16" ht="12.5">
      <c r="B24" s="160" t="str">
        <f t="shared" si="4"/>
        <v/>
      </c>
      <c r="C24" s="473">
        <f>IF(D11="","-",+C23+1)</f>
        <v>2014</v>
      </c>
      <c r="D24" s="480">
        <v>74997</v>
      </c>
      <c r="E24" s="481">
        <v>1624</v>
      </c>
      <c r="F24" s="480">
        <v>73373</v>
      </c>
      <c r="G24" s="481">
        <v>11724.436761777028</v>
      </c>
      <c r="H24" s="482">
        <v>11724.436761777028</v>
      </c>
      <c r="I24" s="476">
        <v>0</v>
      </c>
      <c r="J24" s="476"/>
      <c r="K24" s="477">
        <f t="shared" si="5"/>
        <v>11724.436761777028</v>
      </c>
      <c r="L24" s="551">
        <f t="shared" si="7"/>
        <v>0</v>
      </c>
      <c r="M24" s="477">
        <f t="shared" si="6"/>
        <v>11724.436761777028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4"/>
        <v/>
      </c>
      <c r="C25" s="473">
        <f>IF(D11="","-",+C24+1)</f>
        <v>2015</v>
      </c>
      <c r="D25" s="480">
        <v>73373</v>
      </c>
      <c r="E25" s="481">
        <v>1624</v>
      </c>
      <c r="F25" s="480">
        <v>71749</v>
      </c>
      <c r="G25" s="481">
        <v>11516.153501332747</v>
      </c>
      <c r="H25" s="482">
        <v>11516.153501332747</v>
      </c>
      <c r="I25" s="476">
        <v>0</v>
      </c>
      <c r="J25" s="476"/>
      <c r="K25" s="477">
        <f t="shared" si="5"/>
        <v>11516.153501332747</v>
      </c>
      <c r="L25" s="551">
        <f t="shared" si="7"/>
        <v>0</v>
      </c>
      <c r="M25" s="477">
        <f t="shared" si="6"/>
        <v>11516.153501332747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4"/>
        <v/>
      </c>
      <c r="C26" s="473">
        <f>IF(D11="","-",+C25+1)</f>
        <v>2016</v>
      </c>
      <c r="D26" s="480">
        <v>71749</v>
      </c>
      <c r="E26" s="481">
        <v>1624</v>
      </c>
      <c r="F26" s="480">
        <v>70125</v>
      </c>
      <c r="G26" s="481">
        <v>10821.569336122064</v>
      </c>
      <c r="H26" s="482">
        <v>10821.569336122064</v>
      </c>
      <c r="I26" s="476">
        <f t="shared" si="0"/>
        <v>0</v>
      </c>
      <c r="J26" s="476"/>
      <c r="K26" s="477">
        <f>G26</f>
        <v>10821.569336122064</v>
      </c>
      <c r="L26" s="551">
        <f t="shared" si="7"/>
        <v>0</v>
      </c>
      <c r="M26" s="477">
        <f>H26</f>
        <v>10821.569336122064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4"/>
        <v/>
      </c>
      <c r="C27" s="473">
        <f>IF(D11="","-",+C26+1)</f>
        <v>2017</v>
      </c>
      <c r="D27" s="480">
        <v>70125</v>
      </c>
      <c r="E27" s="481">
        <v>1835</v>
      </c>
      <c r="F27" s="480">
        <v>68290</v>
      </c>
      <c r="G27" s="481">
        <v>10525.630110064558</v>
      </c>
      <c r="H27" s="482">
        <v>10525.630110064558</v>
      </c>
      <c r="I27" s="476">
        <f t="shared" si="0"/>
        <v>0</v>
      </c>
      <c r="J27" s="476"/>
      <c r="K27" s="477">
        <f>G27</f>
        <v>10525.630110064558</v>
      </c>
      <c r="L27" s="551">
        <f t="shared" si="7"/>
        <v>0</v>
      </c>
      <c r="M27" s="477">
        <f>H27</f>
        <v>10525.630110064558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4"/>
        <v/>
      </c>
      <c r="C28" s="473">
        <f>IF(D11="","-",+C27+1)</f>
        <v>2018</v>
      </c>
      <c r="D28" s="480">
        <v>68290</v>
      </c>
      <c r="E28" s="481">
        <v>1876</v>
      </c>
      <c r="F28" s="480">
        <v>66414</v>
      </c>
      <c r="G28" s="481">
        <v>9942.0041745497692</v>
      </c>
      <c r="H28" s="482">
        <v>9942.0041745497692</v>
      </c>
      <c r="I28" s="476">
        <f t="shared" si="0"/>
        <v>0</v>
      </c>
      <c r="J28" s="476"/>
      <c r="K28" s="477">
        <f>G28</f>
        <v>9942.0041745497692</v>
      </c>
      <c r="L28" s="551">
        <f t="shared" si="7"/>
        <v>0</v>
      </c>
      <c r="M28" s="477">
        <f>H28</f>
        <v>9942.0041745497692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4"/>
        <v/>
      </c>
      <c r="C29" s="473">
        <f>IF(D11="","-",+C28+1)</f>
        <v>2019</v>
      </c>
      <c r="D29" s="480">
        <v>66414</v>
      </c>
      <c r="E29" s="481">
        <v>2111</v>
      </c>
      <c r="F29" s="480">
        <v>64303</v>
      </c>
      <c r="G29" s="481">
        <v>9408.7099366610164</v>
      </c>
      <c r="H29" s="482">
        <v>9408.7099366610164</v>
      </c>
      <c r="I29" s="476">
        <f t="shared" si="0"/>
        <v>0</v>
      </c>
      <c r="J29" s="476"/>
      <c r="K29" s="477">
        <f>G29</f>
        <v>9408.7099366610164</v>
      </c>
      <c r="L29" s="551">
        <f t="shared" ref="L29" si="10">IF(K29&lt;&gt;0,+G29-K29,0)</f>
        <v>0</v>
      </c>
      <c r="M29" s="477">
        <f>H29</f>
        <v>9408.7099366610164</v>
      </c>
      <c r="N29" s="479">
        <f t="shared" ref="N29" si="11">IF(M29&lt;&gt;0,+H29-M29,0)</f>
        <v>0</v>
      </c>
      <c r="O29" s="479">
        <f t="shared" ref="O29" si="12">+N29-L29</f>
        <v>0</v>
      </c>
      <c r="P29" s="243"/>
    </row>
    <row r="30" spans="2:16" ht="12.5">
      <c r="B30" s="160" t="str">
        <f t="shared" si="4"/>
        <v/>
      </c>
      <c r="C30" s="473">
        <f>IF(D11="","-",+C29+1)</f>
        <v>2020</v>
      </c>
      <c r="D30" s="486">
        <f>IF(F29+SUM(E$17:E29)=D$10,F29,D$10-SUM(E$17:E29))</f>
        <v>64303</v>
      </c>
      <c r="E30" s="485">
        <f>IF(+I14&lt;F29,I14,D30)</f>
        <v>1876</v>
      </c>
      <c r="F30" s="486">
        <f t="shared" ref="F30:F48" si="13">+D30-E30</f>
        <v>62427</v>
      </c>
      <c r="G30" s="487">
        <f t="shared" ref="G30:G72" si="14">+I$12*F30+E30</f>
        <v>10324.583648348747</v>
      </c>
      <c r="H30" s="456">
        <f t="shared" ref="H30:H72" si="15">+I$13*F30+E30</f>
        <v>10324.583648348747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4"/>
        <v/>
      </c>
      <c r="C31" s="473">
        <f>IF(D11="","-",+C30+1)</f>
        <v>2021</v>
      </c>
      <c r="D31" s="486">
        <f>IF(F30+SUM(E$17:E30)=D$10,F30,D$10-SUM(E$17:E30))</f>
        <v>62427</v>
      </c>
      <c r="E31" s="485">
        <f>IF(+I14&lt;F30,I14,D31)</f>
        <v>1876</v>
      </c>
      <c r="F31" s="486">
        <f t="shared" si="13"/>
        <v>60551</v>
      </c>
      <c r="G31" s="487">
        <f t="shared" si="14"/>
        <v>10070.694418939962</v>
      </c>
      <c r="H31" s="456">
        <f t="shared" si="15"/>
        <v>10070.694418939962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4"/>
        <v/>
      </c>
      <c r="C32" s="473">
        <f>IF(D11="","-",+C31+1)</f>
        <v>2022</v>
      </c>
      <c r="D32" s="486">
        <f>IF(F31+SUM(E$17:E31)=D$10,F31,D$10-SUM(E$17:E31))</f>
        <v>60551</v>
      </c>
      <c r="E32" s="485">
        <f>IF(+I14&lt;F31,I14,D32)</f>
        <v>1876</v>
      </c>
      <c r="F32" s="486">
        <f t="shared" si="13"/>
        <v>58675</v>
      </c>
      <c r="G32" s="487">
        <f t="shared" si="14"/>
        <v>9816.8051895311764</v>
      </c>
      <c r="H32" s="456">
        <f t="shared" si="15"/>
        <v>9816.8051895311764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4"/>
        <v/>
      </c>
      <c r="C33" s="473">
        <f>IF(D11="","-",+C32+1)</f>
        <v>2023</v>
      </c>
      <c r="D33" s="486">
        <f>IF(F32+SUM(E$17:E32)=D$10,F32,D$10-SUM(E$17:E32))</f>
        <v>58675</v>
      </c>
      <c r="E33" s="485">
        <f>IF(+I14&lt;F32,I14,D33)</f>
        <v>1876</v>
      </c>
      <c r="F33" s="486">
        <f t="shared" si="13"/>
        <v>56799</v>
      </c>
      <c r="G33" s="487">
        <f t="shared" si="14"/>
        <v>9562.915960122391</v>
      </c>
      <c r="H33" s="456">
        <f t="shared" si="15"/>
        <v>9562.915960122391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4"/>
        <v/>
      </c>
      <c r="C34" s="473">
        <f>IF(D11="","-",+C33+1)</f>
        <v>2024</v>
      </c>
      <c r="D34" s="486">
        <f>IF(F33+SUM(E$17:E33)=D$10,F33,D$10-SUM(E$17:E33))</f>
        <v>56799</v>
      </c>
      <c r="E34" s="485">
        <f>IF(+I14&lt;F33,I14,D34)</f>
        <v>1876</v>
      </c>
      <c r="F34" s="486">
        <f t="shared" si="13"/>
        <v>54923</v>
      </c>
      <c r="G34" s="487">
        <f t="shared" si="14"/>
        <v>9309.0267307136055</v>
      </c>
      <c r="H34" s="456">
        <f t="shared" si="15"/>
        <v>9309.0267307136055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4"/>
        <v/>
      </c>
      <c r="C35" s="473">
        <f>IF(D11="","-",+C34+1)</f>
        <v>2025</v>
      </c>
      <c r="D35" s="486">
        <f>IF(F34+SUM(E$17:E34)=D$10,F34,D$10-SUM(E$17:E34))</f>
        <v>54923</v>
      </c>
      <c r="E35" s="485">
        <f>IF(+I14&lt;F34,I14,D35)</f>
        <v>1876</v>
      </c>
      <c r="F35" s="486">
        <f t="shared" si="13"/>
        <v>53047</v>
      </c>
      <c r="G35" s="487">
        <f t="shared" si="14"/>
        <v>9055.13750130482</v>
      </c>
      <c r="H35" s="456">
        <f t="shared" si="15"/>
        <v>9055.13750130482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4"/>
        <v/>
      </c>
      <c r="C36" s="473">
        <f>IF(D11="","-",+C35+1)</f>
        <v>2026</v>
      </c>
      <c r="D36" s="486">
        <f>IF(F35+SUM(E$17:E35)=D$10,F35,D$10-SUM(E$17:E35))</f>
        <v>53047</v>
      </c>
      <c r="E36" s="485">
        <f>IF(+I14&lt;F35,I14,D36)</f>
        <v>1876</v>
      </c>
      <c r="F36" s="486">
        <f t="shared" si="13"/>
        <v>51171</v>
      </c>
      <c r="G36" s="487">
        <f t="shared" si="14"/>
        <v>8801.2482718960346</v>
      </c>
      <c r="H36" s="456">
        <f t="shared" si="15"/>
        <v>8801.2482718960346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4"/>
        <v/>
      </c>
      <c r="C37" s="473">
        <f>IF(D11="","-",+C36+1)</f>
        <v>2027</v>
      </c>
      <c r="D37" s="486">
        <f>IF(F36+SUM(E$17:E36)=D$10,F36,D$10-SUM(E$17:E36))</f>
        <v>51171</v>
      </c>
      <c r="E37" s="485">
        <f>IF(+I14&lt;F36,I14,D37)</f>
        <v>1876</v>
      </c>
      <c r="F37" s="486">
        <f t="shared" si="13"/>
        <v>49295</v>
      </c>
      <c r="G37" s="487">
        <f t="shared" si="14"/>
        <v>8547.3590424872491</v>
      </c>
      <c r="H37" s="456">
        <f t="shared" si="15"/>
        <v>8547.3590424872491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4"/>
        <v/>
      </c>
      <c r="C38" s="473">
        <f>IF(D11="","-",+C37+1)</f>
        <v>2028</v>
      </c>
      <c r="D38" s="486">
        <f>IF(F37+SUM(E$17:E37)=D$10,F37,D$10-SUM(E$17:E37))</f>
        <v>49295</v>
      </c>
      <c r="E38" s="485">
        <f>IF(+I14&lt;F37,I14,D38)</f>
        <v>1876</v>
      </c>
      <c r="F38" s="486">
        <f t="shared" si="13"/>
        <v>47419</v>
      </c>
      <c r="G38" s="487">
        <f t="shared" si="14"/>
        <v>8293.4698130784636</v>
      </c>
      <c r="H38" s="456">
        <f t="shared" si="15"/>
        <v>8293.4698130784636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4"/>
        <v/>
      </c>
      <c r="C39" s="473">
        <f>IF(D11="","-",+C38+1)</f>
        <v>2029</v>
      </c>
      <c r="D39" s="486">
        <f>IF(F38+SUM(E$17:E38)=D$10,F38,D$10-SUM(E$17:E38))</f>
        <v>47419</v>
      </c>
      <c r="E39" s="485">
        <f>IF(+I14&lt;F38,I14,D39)</f>
        <v>1876</v>
      </c>
      <c r="F39" s="486">
        <f t="shared" si="13"/>
        <v>45543</v>
      </c>
      <c r="G39" s="487">
        <f t="shared" si="14"/>
        <v>8039.5805836696782</v>
      </c>
      <c r="H39" s="456">
        <f t="shared" si="15"/>
        <v>8039.5805836696782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4"/>
        <v/>
      </c>
      <c r="C40" s="473">
        <f>IF(D11="","-",+C39+1)</f>
        <v>2030</v>
      </c>
      <c r="D40" s="486">
        <f>IF(F39+SUM(E$17:E39)=D$10,F39,D$10-SUM(E$17:E39))</f>
        <v>45543</v>
      </c>
      <c r="E40" s="485">
        <f>IF(+I14&lt;F39,I14,D40)</f>
        <v>1876</v>
      </c>
      <c r="F40" s="486">
        <f t="shared" si="13"/>
        <v>43667</v>
      </c>
      <c r="G40" s="487">
        <f t="shared" si="14"/>
        <v>7785.6913542608927</v>
      </c>
      <c r="H40" s="456">
        <f t="shared" si="15"/>
        <v>7785.6913542608927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4"/>
        <v/>
      </c>
      <c r="C41" s="473">
        <f>IF(D11="","-",+C40+1)</f>
        <v>2031</v>
      </c>
      <c r="D41" s="486">
        <f>IF(F40+SUM(E$17:E40)=D$10,F40,D$10-SUM(E$17:E40))</f>
        <v>43667</v>
      </c>
      <c r="E41" s="485">
        <f>IF(+I14&lt;F40,I14,D41)</f>
        <v>1876</v>
      </c>
      <c r="F41" s="486">
        <f t="shared" si="13"/>
        <v>41791</v>
      </c>
      <c r="G41" s="487">
        <f t="shared" si="14"/>
        <v>7531.8021248521072</v>
      </c>
      <c r="H41" s="456">
        <f t="shared" si="15"/>
        <v>7531.8021248521072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4"/>
        <v/>
      </c>
      <c r="C42" s="473">
        <f>IF(D11="","-",+C41+1)</f>
        <v>2032</v>
      </c>
      <c r="D42" s="486">
        <f>IF(F41+SUM(E$17:E41)=D$10,F41,D$10-SUM(E$17:E41))</f>
        <v>41791</v>
      </c>
      <c r="E42" s="485">
        <f>IF(+I14&lt;F41,I14,D42)</f>
        <v>1876</v>
      </c>
      <c r="F42" s="486">
        <f t="shared" si="13"/>
        <v>39915</v>
      </c>
      <c r="G42" s="487">
        <f t="shared" si="14"/>
        <v>7277.9128954433218</v>
      </c>
      <c r="H42" s="456">
        <f t="shared" si="15"/>
        <v>7277.9128954433218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4"/>
        <v/>
      </c>
      <c r="C43" s="473">
        <f>IF(D11="","-",+C42+1)</f>
        <v>2033</v>
      </c>
      <c r="D43" s="486">
        <f>IF(F42+SUM(E$17:E42)=D$10,F42,D$10-SUM(E$17:E42))</f>
        <v>39915</v>
      </c>
      <c r="E43" s="485">
        <f>IF(+I14&lt;F42,I14,D43)</f>
        <v>1876</v>
      </c>
      <c r="F43" s="486">
        <f t="shared" si="13"/>
        <v>38039</v>
      </c>
      <c r="G43" s="487">
        <f t="shared" si="14"/>
        <v>7024.0236660345363</v>
      </c>
      <c r="H43" s="456">
        <f t="shared" si="15"/>
        <v>7024.0236660345363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4"/>
        <v/>
      </c>
      <c r="C44" s="473">
        <f>IF(D11="","-",+C43+1)</f>
        <v>2034</v>
      </c>
      <c r="D44" s="486">
        <f>IF(F43+SUM(E$17:E43)=D$10,F43,D$10-SUM(E$17:E43))</f>
        <v>38039</v>
      </c>
      <c r="E44" s="485">
        <f>IF(+I14&lt;F43,I14,D44)</f>
        <v>1876</v>
      </c>
      <c r="F44" s="486">
        <f t="shared" si="13"/>
        <v>36163</v>
      </c>
      <c r="G44" s="487">
        <f t="shared" si="14"/>
        <v>6770.1344366257508</v>
      </c>
      <c r="H44" s="456">
        <f t="shared" si="15"/>
        <v>6770.1344366257508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4"/>
        <v/>
      </c>
      <c r="C45" s="473">
        <f>IF(D11="","-",+C44+1)</f>
        <v>2035</v>
      </c>
      <c r="D45" s="486">
        <f>IF(F44+SUM(E$17:E44)=D$10,F44,D$10-SUM(E$17:E44))</f>
        <v>36163</v>
      </c>
      <c r="E45" s="485">
        <f>IF(+I14&lt;F44,I14,D45)</f>
        <v>1876</v>
      </c>
      <c r="F45" s="486">
        <f t="shared" si="13"/>
        <v>34287</v>
      </c>
      <c r="G45" s="487">
        <f t="shared" si="14"/>
        <v>6516.2452072169654</v>
      </c>
      <c r="H45" s="456">
        <f t="shared" si="15"/>
        <v>6516.2452072169654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4"/>
        <v/>
      </c>
      <c r="C46" s="473">
        <f>IF(D11="","-",+C45+1)</f>
        <v>2036</v>
      </c>
      <c r="D46" s="486">
        <f>IF(F45+SUM(E$17:E45)=D$10,F45,D$10-SUM(E$17:E45))</f>
        <v>34287</v>
      </c>
      <c r="E46" s="485">
        <f>IF(+I14&lt;F45,I14,D46)</f>
        <v>1876</v>
      </c>
      <c r="F46" s="486">
        <f t="shared" si="13"/>
        <v>32411</v>
      </c>
      <c r="G46" s="487">
        <f t="shared" si="14"/>
        <v>6262.3559778081799</v>
      </c>
      <c r="H46" s="456">
        <f t="shared" si="15"/>
        <v>6262.3559778081799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4"/>
        <v/>
      </c>
      <c r="C47" s="473">
        <f>IF(D11="","-",+C46+1)</f>
        <v>2037</v>
      </c>
      <c r="D47" s="486">
        <f>IF(F46+SUM(E$17:E46)=D$10,F46,D$10-SUM(E$17:E46))</f>
        <v>32411</v>
      </c>
      <c r="E47" s="485">
        <f>IF(+I14&lt;F46,I14,D47)</f>
        <v>1876</v>
      </c>
      <c r="F47" s="486">
        <f t="shared" si="13"/>
        <v>30535</v>
      </c>
      <c r="G47" s="487">
        <f t="shared" si="14"/>
        <v>6008.4667483993944</v>
      </c>
      <c r="H47" s="456">
        <f t="shared" si="15"/>
        <v>6008.4667483993944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4"/>
        <v/>
      </c>
      <c r="C48" s="473">
        <f>IF(D11="","-",+C47+1)</f>
        <v>2038</v>
      </c>
      <c r="D48" s="486">
        <f>IF(F47+SUM(E$17:E47)=D$10,F47,D$10-SUM(E$17:E47))</f>
        <v>30535</v>
      </c>
      <c r="E48" s="485">
        <f>IF(+I14&lt;F47,I14,D48)</f>
        <v>1876</v>
      </c>
      <c r="F48" s="486">
        <f t="shared" si="13"/>
        <v>28659</v>
      </c>
      <c r="G48" s="487">
        <f t="shared" si="14"/>
        <v>5754.577518990609</v>
      </c>
      <c r="H48" s="456">
        <f t="shared" si="15"/>
        <v>5754.577518990609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4"/>
        <v/>
      </c>
      <c r="C49" s="473">
        <f>IF(D11="","-",+C48+1)</f>
        <v>2039</v>
      </c>
      <c r="D49" s="486">
        <f>IF(F48+SUM(E$17:E48)=D$10,F48,D$10-SUM(E$17:E48))</f>
        <v>28659</v>
      </c>
      <c r="E49" s="485">
        <f>IF(+I14&lt;F48,I14,D49)</f>
        <v>1876</v>
      </c>
      <c r="F49" s="486">
        <f t="shared" ref="F49:F72" si="16">+D49-E49</f>
        <v>26783</v>
      </c>
      <c r="G49" s="487">
        <f t="shared" si="14"/>
        <v>5500.6882895818235</v>
      </c>
      <c r="H49" s="456">
        <f t="shared" si="15"/>
        <v>5500.6882895818235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4"/>
        <v/>
      </c>
      <c r="C50" s="473">
        <f>IF(D11="","-",+C49+1)</f>
        <v>2040</v>
      </c>
      <c r="D50" s="486">
        <f>IF(F49+SUM(E$17:E49)=D$10,F49,D$10-SUM(E$17:E49))</f>
        <v>26783</v>
      </c>
      <c r="E50" s="485">
        <f>IF(+I14&lt;F49,I14,D50)</f>
        <v>1876</v>
      </c>
      <c r="F50" s="486">
        <f t="shared" si="16"/>
        <v>24907</v>
      </c>
      <c r="G50" s="487">
        <f t="shared" si="14"/>
        <v>5246.799060173038</v>
      </c>
      <c r="H50" s="456">
        <f t="shared" si="15"/>
        <v>5246.799060173038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4"/>
        <v/>
      </c>
      <c r="C51" s="473">
        <f>IF(D11="","-",+C50+1)</f>
        <v>2041</v>
      </c>
      <c r="D51" s="486">
        <f>IF(F50+SUM(E$17:E50)=D$10,F50,D$10-SUM(E$17:E50))</f>
        <v>24907</v>
      </c>
      <c r="E51" s="485">
        <f>IF(+I14&lt;F50,I14,D51)</f>
        <v>1876</v>
      </c>
      <c r="F51" s="486">
        <f t="shared" si="16"/>
        <v>23031</v>
      </c>
      <c r="G51" s="487">
        <f t="shared" si="14"/>
        <v>4992.9098307642525</v>
      </c>
      <c r="H51" s="456">
        <f t="shared" si="15"/>
        <v>4992.9098307642525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4"/>
        <v/>
      </c>
      <c r="C52" s="473">
        <f>IF(D11="","-",+C51+1)</f>
        <v>2042</v>
      </c>
      <c r="D52" s="486">
        <f>IF(F51+SUM(E$17:E51)=D$10,F51,D$10-SUM(E$17:E51))</f>
        <v>23031</v>
      </c>
      <c r="E52" s="485">
        <f>IF(+I14&lt;F51,I14,D52)</f>
        <v>1876</v>
      </c>
      <c r="F52" s="486">
        <f t="shared" si="16"/>
        <v>21155</v>
      </c>
      <c r="G52" s="487">
        <f t="shared" si="14"/>
        <v>4739.0206013554671</v>
      </c>
      <c r="H52" s="456">
        <f t="shared" si="15"/>
        <v>4739.0206013554671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4"/>
        <v/>
      </c>
      <c r="C53" s="473">
        <f>IF(D11="","-",+C52+1)</f>
        <v>2043</v>
      </c>
      <c r="D53" s="486">
        <f>IF(F52+SUM(E$17:E52)=D$10,F52,D$10-SUM(E$17:E52))</f>
        <v>21155</v>
      </c>
      <c r="E53" s="485">
        <f>IF(+I14&lt;F52,I14,D53)</f>
        <v>1876</v>
      </c>
      <c r="F53" s="486">
        <f t="shared" si="16"/>
        <v>19279</v>
      </c>
      <c r="G53" s="487">
        <f t="shared" si="14"/>
        <v>4485.1313719466816</v>
      </c>
      <c r="H53" s="456">
        <f t="shared" si="15"/>
        <v>4485.1313719466816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4"/>
        <v/>
      </c>
      <c r="C54" s="473">
        <f>IF(D11="","-",+C53+1)</f>
        <v>2044</v>
      </c>
      <c r="D54" s="486">
        <f>IF(F53+SUM(E$17:E53)=D$10,F53,D$10-SUM(E$17:E53))</f>
        <v>19279</v>
      </c>
      <c r="E54" s="485">
        <f>IF(+I14&lt;F53,I14,D54)</f>
        <v>1876</v>
      </c>
      <c r="F54" s="486">
        <f t="shared" si="16"/>
        <v>17403</v>
      </c>
      <c r="G54" s="487">
        <f t="shared" si="14"/>
        <v>4231.2421425378961</v>
      </c>
      <c r="H54" s="456">
        <f t="shared" si="15"/>
        <v>4231.2421425378961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4"/>
        <v/>
      </c>
      <c r="C55" s="473">
        <f>IF(D11="","-",+C54+1)</f>
        <v>2045</v>
      </c>
      <c r="D55" s="486">
        <f>IF(F54+SUM(E$17:E54)=D$10,F54,D$10-SUM(E$17:E54))</f>
        <v>17403</v>
      </c>
      <c r="E55" s="485">
        <f>IF(+I14&lt;F54,I14,D55)</f>
        <v>1876</v>
      </c>
      <c r="F55" s="486">
        <f t="shared" si="16"/>
        <v>15527</v>
      </c>
      <c r="G55" s="487">
        <f t="shared" si="14"/>
        <v>3977.3529131291107</v>
      </c>
      <c r="H55" s="456">
        <f t="shared" si="15"/>
        <v>3977.3529131291107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4"/>
        <v/>
      </c>
      <c r="C56" s="473">
        <f>IF(D11="","-",+C55+1)</f>
        <v>2046</v>
      </c>
      <c r="D56" s="486">
        <f>IF(F55+SUM(E$17:E55)=D$10,F55,D$10-SUM(E$17:E55))</f>
        <v>15527</v>
      </c>
      <c r="E56" s="485">
        <f>IF(+I14&lt;F55,I14,D56)</f>
        <v>1876</v>
      </c>
      <c r="F56" s="486">
        <f t="shared" si="16"/>
        <v>13651</v>
      </c>
      <c r="G56" s="487">
        <f t="shared" si="14"/>
        <v>3723.4636837203252</v>
      </c>
      <c r="H56" s="456">
        <f t="shared" si="15"/>
        <v>3723.4636837203252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4"/>
        <v/>
      </c>
      <c r="C57" s="473">
        <f>IF(D11="","-",+C56+1)</f>
        <v>2047</v>
      </c>
      <c r="D57" s="486">
        <f>IF(F56+SUM(E$17:E56)=D$10,F56,D$10-SUM(E$17:E56))</f>
        <v>13651</v>
      </c>
      <c r="E57" s="485">
        <f>IF(+I14&lt;F56,I14,D57)</f>
        <v>1876</v>
      </c>
      <c r="F57" s="486">
        <f t="shared" si="16"/>
        <v>11775</v>
      </c>
      <c r="G57" s="487">
        <f t="shared" si="14"/>
        <v>3469.5744543115397</v>
      </c>
      <c r="H57" s="456">
        <f t="shared" si="15"/>
        <v>3469.5744543115397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4"/>
        <v/>
      </c>
      <c r="C58" s="473">
        <f>IF(D11="","-",+C57+1)</f>
        <v>2048</v>
      </c>
      <c r="D58" s="486">
        <f>IF(F57+SUM(E$17:E57)=D$10,F57,D$10-SUM(E$17:E57))</f>
        <v>11775</v>
      </c>
      <c r="E58" s="485">
        <f>IF(+I14&lt;F57,I14,D58)</f>
        <v>1876</v>
      </c>
      <c r="F58" s="486">
        <f t="shared" si="16"/>
        <v>9899</v>
      </c>
      <c r="G58" s="487">
        <f t="shared" si="14"/>
        <v>3215.6852249027543</v>
      </c>
      <c r="H58" s="456">
        <f t="shared" si="15"/>
        <v>3215.6852249027543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4"/>
        <v/>
      </c>
      <c r="C59" s="473">
        <f>IF(D11="","-",+C58+1)</f>
        <v>2049</v>
      </c>
      <c r="D59" s="486">
        <f>IF(F58+SUM(E$17:E58)=D$10,F58,D$10-SUM(E$17:E58))</f>
        <v>9899</v>
      </c>
      <c r="E59" s="485">
        <f>IF(+I14&lt;F58,I14,D59)</f>
        <v>1876</v>
      </c>
      <c r="F59" s="486">
        <f t="shared" si="16"/>
        <v>8023</v>
      </c>
      <c r="G59" s="487">
        <f t="shared" si="14"/>
        <v>2961.7959954939688</v>
      </c>
      <c r="H59" s="456">
        <f t="shared" si="15"/>
        <v>2961.7959954939688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4"/>
        <v/>
      </c>
      <c r="C60" s="473">
        <f>IF(D11="","-",+C59+1)</f>
        <v>2050</v>
      </c>
      <c r="D60" s="486">
        <f>IF(F59+SUM(E$17:E59)=D$10,F59,D$10-SUM(E$17:E59))</f>
        <v>8023</v>
      </c>
      <c r="E60" s="485">
        <f>IF(+I14&lt;F59,I14,D60)</f>
        <v>1876</v>
      </c>
      <c r="F60" s="486">
        <f t="shared" si="16"/>
        <v>6147</v>
      </c>
      <c r="G60" s="487">
        <f t="shared" si="14"/>
        <v>2707.9067660851833</v>
      </c>
      <c r="H60" s="456">
        <f t="shared" si="15"/>
        <v>2707.9067660851833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4"/>
        <v/>
      </c>
      <c r="C61" s="473">
        <f>IF(D11="","-",+C60+1)</f>
        <v>2051</v>
      </c>
      <c r="D61" s="486">
        <f>IF(F60+SUM(E$17:E60)=D$10,F60,D$10-SUM(E$17:E60))</f>
        <v>6147</v>
      </c>
      <c r="E61" s="485">
        <f>IF(+I14&lt;F60,I14,D61)</f>
        <v>1876</v>
      </c>
      <c r="F61" s="486">
        <f t="shared" si="16"/>
        <v>4271</v>
      </c>
      <c r="G61" s="489">
        <f t="shared" si="14"/>
        <v>2454.0175366763979</v>
      </c>
      <c r="H61" s="456">
        <f t="shared" si="15"/>
        <v>2454.0175366763979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4"/>
        <v/>
      </c>
      <c r="C62" s="473">
        <f>IF(D11="","-",+C61+1)</f>
        <v>2052</v>
      </c>
      <c r="D62" s="486">
        <f>IF(F61+SUM(E$17:E61)=D$10,F61,D$10-SUM(E$17:E61))</f>
        <v>4271</v>
      </c>
      <c r="E62" s="485">
        <f>IF(+I14&lt;F61,I14,D62)</f>
        <v>1876</v>
      </c>
      <c r="F62" s="486">
        <f t="shared" si="16"/>
        <v>2395</v>
      </c>
      <c r="G62" s="489">
        <f t="shared" si="14"/>
        <v>2200.1283072676124</v>
      </c>
      <c r="H62" s="456">
        <f t="shared" si="15"/>
        <v>2200.1283072676124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4"/>
        <v/>
      </c>
      <c r="C63" s="473">
        <f>IF(D11="","-",+C62+1)</f>
        <v>2053</v>
      </c>
      <c r="D63" s="486">
        <f>IF(F62+SUM(E$17:E62)=D$10,F62,D$10-SUM(E$17:E62))</f>
        <v>2395</v>
      </c>
      <c r="E63" s="485">
        <f>IF(+I14&lt;F62,I14,D63)</f>
        <v>1876</v>
      </c>
      <c r="F63" s="486">
        <f t="shared" si="16"/>
        <v>519</v>
      </c>
      <c r="G63" s="489">
        <f t="shared" si="14"/>
        <v>1946.2390778588272</v>
      </c>
      <c r="H63" s="456">
        <f t="shared" si="15"/>
        <v>1946.2390778588272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4"/>
        <v/>
      </c>
      <c r="C64" s="473">
        <f>IF(D11="","-",+C63+1)</f>
        <v>2054</v>
      </c>
      <c r="D64" s="486">
        <f>IF(F63+SUM(E$17:E63)=D$10,F63,D$10-SUM(E$17:E63))</f>
        <v>519</v>
      </c>
      <c r="E64" s="485">
        <f>IF(+I14&lt;F63,I14,D64)</f>
        <v>519</v>
      </c>
      <c r="F64" s="486">
        <f t="shared" si="16"/>
        <v>0</v>
      </c>
      <c r="G64" s="489">
        <f t="shared" si="14"/>
        <v>519</v>
      </c>
      <c r="H64" s="456">
        <f t="shared" si="15"/>
        <v>519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4"/>
        <v/>
      </c>
      <c r="C65" s="473">
        <f>IF(D11="","-",+C64+1)</f>
        <v>2055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4"/>
        <v/>
      </c>
      <c r="C66" s="473">
        <f>IF(D11="","-",+C65+1)</f>
        <v>2056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4"/>
        <v/>
      </c>
      <c r="C67" s="473">
        <f>IF(D11="","-",+C66+1)</f>
        <v>2057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4"/>
        <v/>
      </c>
      <c r="C68" s="473">
        <f>IF(D11="","-",+C67+1)</f>
        <v>2058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4"/>
        <v/>
      </c>
      <c r="C69" s="473">
        <f>IF(D11="","-",+C68+1)</f>
        <v>2059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4"/>
        <v/>
      </c>
      <c r="C70" s="473">
        <f>IF(D11="","-",+C69+1)</f>
        <v>2060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4"/>
        <v/>
      </c>
      <c r="C71" s="473">
        <f>IF(D11="","-",+C70+1)</f>
        <v>2061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2062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14"/>
        <v>0</v>
      </c>
      <c r="H72" s="436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84424</v>
      </c>
      <c r="F73" s="348"/>
      <c r="G73" s="348">
        <f>SUM(G17:G72)</f>
        <v>324626.75321294792</v>
      </c>
      <c r="H73" s="348">
        <f>SUM(H17:H72)</f>
        <v>324626.75321294792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7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9408.7099366610164</v>
      </c>
      <c r="N87" s="509">
        <f>IF(J92&lt;D11,0,VLOOKUP(J92,C17:O72,11))</f>
        <v>9408.7099366610164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8749.6051392547379</v>
      </c>
      <c r="N88" s="513">
        <f>IF(J92&lt;D11,0,VLOOKUP(J92,C99:P154,7))</f>
        <v>8749.6051392547379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Elk City - Elk City 69 kV line (CT Upgrades)*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-659.10479740627852</v>
      </c>
      <c r="N89" s="518">
        <f>+N88-N87</f>
        <v>-659.10479740627852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TP2007015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84424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2059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2007</v>
      </c>
      <c r="D99" s="474">
        <v>0</v>
      </c>
      <c r="E99" s="481">
        <v>0</v>
      </c>
      <c r="F99" s="480">
        <v>84424</v>
      </c>
      <c r="G99" s="538">
        <v>42212</v>
      </c>
      <c r="H99" s="539">
        <v>0</v>
      </c>
      <c r="I99" s="540">
        <v>0</v>
      </c>
      <c r="J99" s="479">
        <f t="shared" ref="J99:J130" si="21">+I99-H99</f>
        <v>0</v>
      </c>
      <c r="K99" s="479"/>
      <c r="L99" s="555">
        <v>0</v>
      </c>
      <c r="M99" s="478">
        <f t="shared" ref="M99:M130" si="22">IF(L99&lt;&gt;0,+H99-L99,0)</f>
        <v>0</v>
      </c>
      <c r="N99" s="555">
        <v>0</v>
      </c>
      <c r="O99" s="478">
        <f t="shared" ref="O99:O130" si="23">IF(N99&lt;&gt;0,+I99-N99,0)</f>
        <v>0</v>
      </c>
      <c r="P99" s="478">
        <f t="shared" ref="P99:P130" si="24">+O99-M99</f>
        <v>0</v>
      </c>
    </row>
    <row r="100" spans="1:16" ht="12.5">
      <c r="B100" s="160" t="str">
        <f>IF(D100=F99,"","IU")</f>
        <v/>
      </c>
      <c r="C100" s="473">
        <f>IF(D93="","-",+C99+1)</f>
        <v>2008</v>
      </c>
      <c r="D100" s="474">
        <v>84424</v>
      </c>
      <c r="E100" s="481">
        <v>1593</v>
      </c>
      <c r="F100" s="480">
        <v>82831</v>
      </c>
      <c r="G100" s="480">
        <v>83628</v>
      </c>
      <c r="H100" s="481">
        <v>14877</v>
      </c>
      <c r="I100" s="482">
        <v>14877</v>
      </c>
      <c r="J100" s="479">
        <f t="shared" si="21"/>
        <v>0</v>
      </c>
      <c r="K100" s="479"/>
      <c r="L100" s="477">
        <v>14877</v>
      </c>
      <c r="M100" s="479">
        <f t="shared" si="22"/>
        <v>0</v>
      </c>
      <c r="N100" s="477">
        <v>14877</v>
      </c>
      <c r="O100" s="479">
        <f t="shared" si="23"/>
        <v>0</v>
      </c>
      <c r="P100" s="479">
        <f t="shared" si="24"/>
        <v>0</v>
      </c>
    </row>
    <row r="101" spans="1:16" ht="12.5">
      <c r="B101" s="160" t="str">
        <f t="shared" ref="B101:B154" si="25">IF(D101=F100,"","IU")</f>
        <v/>
      </c>
      <c r="C101" s="473">
        <f>IF(D93="","-",+C100+1)</f>
        <v>2009</v>
      </c>
      <c r="D101" s="474">
        <v>82831</v>
      </c>
      <c r="E101" s="481">
        <v>1508</v>
      </c>
      <c r="F101" s="480">
        <v>81323</v>
      </c>
      <c r="G101" s="480">
        <v>82077</v>
      </c>
      <c r="H101" s="481">
        <v>13508.337143636172</v>
      </c>
      <c r="I101" s="482">
        <v>13508.337143636172</v>
      </c>
      <c r="J101" s="479">
        <f t="shared" si="21"/>
        <v>0</v>
      </c>
      <c r="K101" s="479"/>
      <c r="L101" s="541">
        <f t="shared" ref="L101:L106" si="26">H101</f>
        <v>13508.337143636172</v>
      </c>
      <c r="M101" s="542">
        <f t="shared" si="22"/>
        <v>0</v>
      </c>
      <c r="N101" s="541">
        <f t="shared" ref="N101:N106" si="27">I101</f>
        <v>13508.337143636172</v>
      </c>
      <c r="O101" s="479">
        <f t="shared" si="23"/>
        <v>0</v>
      </c>
      <c r="P101" s="479">
        <f t="shared" si="24"/>
        <v>0</v>
      </c>
    </row>
    <row r="102" spans="1:16" ht="12.5">
      <c r="B102" s="160" t="str">
        <f t="shared" si="25"/>
        <v/>
      </c>
      <c r="C102" s="473">
        <f>IF(D93="","-",+C101+1)</f>
        <v>2010</v>
      </c>
      <c r="D102" s="474">
        <v>81323</v>
      </c>
      <c r="E102" s="481">
        <v>1655</v>
      </c>
      <c r="F102" s="480">
        <v>79668</v>
      </c>
      <c r="G102" s="480">
        <v>80495.5</v>
      </c>
      <c r="H102" s="481">
        <v>14599.901682354179</v>
      </c>
      <c r="I102" s="482">
        <v>14599.901682354179</v>
      </c>
      <c r="J102" s="479">
        <f t="shared" si="21"/>
        <v>0</v>
      </c>
      <c r="K102" s="479"/>
      <c r="L102" s="541">
        <f t="shared" si="26"/>
        <v>14599.901682354179</v>
      </c>
      <c r="M102" s="542">
        <f t="shared" si="22"/>
        <v>0</v>
      </c>
      <c r="N102" s="541">
        <f t="shared" si="27"/>
        <v>14599.901682354179</v>
      </c>
      <c r="O102" s="479">
        <f t="shared" si="23"/>
        <v>0</v>
      </c>
      <c r="P102" s="479">
        <f t="shared" si="24"/>
        <v>0</v>
      </c>
    </row>
    <row r="103" spans="1:16" ht="12.5">
      <c r="B103" s="160" t="str">
        <f t="shared" si="25"/>
        <v/>
      </c>
      <c r="C103" s="473">
        <f>IF(D93="","-",+C102+1)</f>
        <v>2011</v>
      </c>
      <c r="D103" s="474">
        <v>79668</v>
      </c>
      <c r="E103" s="481">
        <v>1624</v>
      </c>
      <c r="F103" s="480">
        <v>78044</v>
      </c>
      <c r="G103" s="480">
        <v>78856</v>
      </c>
      <c r="H103" s="481">
        <v>12649.128461660426</v>
      </c>
      <c r="I103" s="482">
        <v>12649.128461660426</v>
      </c>
      <c r="J103" s="479">
        <f t="shared" si="21"/>
        <v>0</v>
      </c>
      <c r="K103" s="479"/>
      <c r="L103" s="541">
        <f t="shared" si="26"/>
        <v>12649.128461660426</v>
      </c>
      <c r="M103" s="542">
        <f t="shared" si="22"/>
        <v>0</v>
      </c>
      <c r="N103" s="541">
        <f t="shared" si="27"/>
        <v>12649.128461660426</v>
      </c>
      <c r="O103" s="479">
        <f t="shared" si="23"/>
        <v>0</v>
      </c>
      <c r="P103" s="479">
        <f t="shared" si="24"/>
        <v>0</v>
      </c>
    </row>
    <row r="104" spans="1:16" ht="12.5">
      <c r="B104" s="160" t="str">
        <f t="shared" si="25"/>
        <v/>
      </c>
      <c r="C104" s="473">
        <f>IF(D93="","-",+C103+1)</f>
        <v>2012</v>
      </c>
      <c r="D104" s="474">
        <v>78044</v>
      </c>
      <c r="E104" s="481">
        <v>1624</v>
      </c>
      <c r="F104" s="480">
        <v>76420</v>
      </c>
      <c r="G104" s="480">
        <v>77232</v>
      </c>
      <c r="H104" s="481">
        <v>12734.246570183563</v>
      </c>
      <c r="I104" s="482">
        <v>12734.246570183563</v>
      </c>
      <c r="J104" s="479">
        <v>0</v>
      </c>
      <c r="K104" s="479"/>
      <c r="L104" s="541">
        <f t="shared" si="26"/>
        <v>12734.246570183563</v>
      </c>
      <c r="M104" s="542">
        <f t="shared" ref="M104:M109" si="28">IF(L104&lt;&gt;0,+H104-L104,0)</f>
        <v>0</v>
      </c>
      <c r="N104" s="541">
        <f t="shared" si="27"/>
        <v>12734.246570183563</v>
      </c>
      <c r="O104" s="479">
        <f t="shared" ref="O104:O109" si="29">IF(N104&lt;&gt;0,+I104-N104,0)</f>
        <v>0</v>
      </c>
      <c r="P104" s="479">
        <f t="shared" ref="P104:P109" si="30">+O104-M104</f>
        <v>0</v>
      </c>
    </row>
    <row r="105" spans="1:16" ht="12.5">
      <c r="B105" s="160" t="str">
        <f t="shared" si="25"/>
        <v/>
      </c>
      <c r="C105" s="473">
        <f>IF(D93="","-",+C104+1)</f>
        <v>2013</v>
      </c>
      <c r="D105" s="474">
        <v>76420</v>
      </c>
      <c r="E105" s="481">
        <v>1624</v>
      </c>
      <c r="F105" s="480">
        <v>74796</v>
      </c>
      <c r="G105" s="480">
        <v>75608</v>
      </c>
      <c r="H105" s="481">
        <v>12506.984818583547</v>
      </c>
      <c r="I105" s="482">
        <v>12506.984818583547</v>
      </c>
      <c r="J105" s="479">
        <v>0</v>
      </c>
      <c r="K105" s="479"/>
      <c r="L105" s="541">
        <f t="shared" si="26"/>
        <v>12506.984818583547</v>
      </c>
      <c r="M105" s="542">
        <f t="shared" si="28"/>
        <v>0</v>
      </c>
      <c r="N105" s="541">
        <f t="shared" si="27"/>
        <v>12506.984818583547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5"/>
        <v/>
      </c>
      <c r="C106" s="473">
        <f>IF(D93="","-",+C105+1)</f>
        <v>2014</v>
      </c>
      <c r="D106" s="474">
        <v>74796</v>
      </c>
      <c r="E106" s="481">
        <v>1624</v>
      </c>
      <c r="F106" s="480">
        <v>73172</v>
      </c>
      <c r="G106" s="480">
        <v>73984</v>
      </c>
      <c r="H106" s="481">
        <v>12025.847971361507</v>
      </c>
      <c r="I106" s="482">
        <v>12025.847971361507</v>
      </c>
      <c r="J106" s="479">
        <v>0</v>
      </c>
      <c r="K106" s="479"/>
      <c r="L106" s="541">
        <f t="shared" si="26"/>
        <v>12025.847971361507</v>
      </c>
      <c r="M106" s="542">
        <f t="shared" si="28"/>
        <v>0</v>
      </c>
      <c r="N106" s="541">
        <f t="shared" si="27"/>
        <v>12025.847971361507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5"/>
        <v/>
      </c>
      <c r="C107" s="473">
        <f>IF(D93="","-",+C106+1)</f>
        <v>2015</v>
      </c>
      <c r="D107" s="474">
        <v>73172</v>
      </c>
      <c r="E107" s="481">
        <v>1624</v>
      </c>
      <c r="F107" s="480">
        <v>71548</v>
      </c>
      <c r="G107" s="480">
        <v>72360</v>
      </c>
      <c r="H107" s="481">
        <v>11496.940196929139</v>
      </c>
      <c r="I107" s="482">
        <v>11496.940196929139</v>
      </c>
      <c r="J107" s="479">
        <f t="shared" si="21"/>
        <v>0</v>
      </c>
      <c r="K107" s="479"/>
      <c r="L107" s="541">
        <f>H107</f>
        <v>11496.940196929139</v>
      </c>
      <c r="M107" s="542">
        <f t="shared" si="28"/>
        <v>0</v>
      </c>
      <c r="N107" s="541">
        <f>I107</f>
        <v>11496.940196929139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5"/>
        <v/>
      </c>
      <c r="C108" s="473">
        <f>IF(D93="","-",+C107+1)</f>
        <v>2016</v>
      </c>
      <c r="D108" s="474">
        <v>71548</v>
      </c>
      <c r="E108" s="481">
        <v>1835</v>
      </c>
      <c r="F108" s="480">
        <v>69713</v>
      </c>
      <c r="G108" s="480">
        <v>70630.5</v>
      </c>
      <c r="H108" s="481">
        <v>10940.383800869789</v>
      </c>
      <c r="I108" s="482">
        <v>10940.383800869789</v>
      </c>
      <c r="J108" s="479">
        <f t="shared" si="21"/>
        <v>0</v>
      </c>
      <c r="K108" s="479"/>
      <c r="L108" s="541">
        <f>H108</f>
        <v>10940.383800869789</v>
      </c>
      <c r="M108" s="542">
        <f t="shared" si="28"/>
        <v>0</v>
      </c>
      <c r="N108" s="541">
        <f>I108</f>
        <v>10940.383800869789</v>
      </c>
      <c r="O108" s="479">
        <f t="shared" si="29"/>
        <v>0</v>
      </c>
      <c r="P108" s="479">
        <f t="shared" si="30"/>
        <v>0</v>
      </c>
    </row>
    <row r="109" spans="1:16" ht="12.5">
      <c r="B109" s="160" t="str">
        <f t="shared" si="25"/>
        <v/>
      </c>
      <c r="C109" s="473">
        <f>IF(D93="","-",+C108+1)</f>
        <v>2017</v>
      </c>
      <c r="D109" s="474">
        <v>69713</v>
      </c>
      <c r="E109" s="481">
        <v>1835</v>
      </c>
      <c r="F109" s="480">
        <v>67878</v>
      </c>
      <c r="G109" s="480">
        <v>68795.5</v>
      </c>
      <c r="H109" s="481">
        <v>10561.882642914878</v>
      </c>
      <c r="I109" s="482">
        <v>10561.882642914878</v>
      </c>
      <c r="J109" s="479">
        <f t="shared" si="21"/>
        <v>0</v>
      </c>
      <c r="K109" s="479"/>
      <c r="L109" s="541">
        <f>H109</f>
        <v>10561.882642914878</v>
      </c>
      <c r="M109" s="542">
        <f t="shared" si="28"/>
        <v>0</v>
      </c>
      <c r="N109" s="541">
        <f>I109</f>
        <v>10561.882642914878</v>
      </c>
      <c r="O109" s="479">
        <f t="shared" si="29"/>
        <v>0</v>
      </c>
      <c r="P109" s="479">
        <f t="shared" si="30"/>
        <v>0</v>
      </c>
    </row>
    <row r="110" spans="1:16" ht="12.5">
      <c r="B110" s="160" t="str">
        <f t="shared" si="25"/>
        <v/>
      </c>
      <c r="C110" s="473">
        <f>IF(D93="","-",+C109+1)</f>
        <v>2018</v>
      </c>
      <c r="D110" s="474">
        <v>67878</v>
      </c>
      <c r="E110" s="481">
        <v>1963</v>
      </c>
      <c r="F110" s="480">
        <v>65915</v>
      </c>
      <c r="G110" s="480">
        <v>66896.5</v>
      </c>
      <c r="H110" s="481">
        <v>8835.6498462369182</v>
      </c>
      <c r="I110" s="482">
        <v>8835.6498462369182</v>
      </c>
      <c r="J110" s="479">
        <f t="shared" si="21"/>
        <v>0</v>
      </c>
      <c r="K110" s="479"/>
      <c r="L110" s="541">
        <f>H110</f>
        <v>8835.6498462369182</v>
      </c>
      <c r="M110" s="542">
        <f t="shared" ref="M110" si="31">IF(L110&lt;&gt;0,+H110-L110,0)</f>
        <v>0</v>
      </c>
      <c r="N110" s="541">
        <f>I110</f>
        <v>8835.6498462369182</v>
      </c>
      <c r="O110" s="479">
        <f t="shared" ref="O110" si="32">IF(N110&lt;&gt;0,+I110-N110,0)</f>
        <v>0</v>
      </c>
      <c r="P110" s="479">
        <f t="shared" ref="P110" si="33">+O110-M110</f>
        <v>0</v>
      </c>
    </row>
    <row r="111" spans="1:16" ht="12.5">
      <c r="B111" s="160" t="str">
        <f t="shared" si="25"/>
        <v/>
      </c>
      <c r="C111" s="473">
        <f>IF(D93="","-",+C110+1)</f>
        <v>2019</v>
      </c>
      <c r="D111" s="347">
        <f>IF(F110+SUM(E$99:E110)=D$92,F110,D$92-SUM(E$99:E110))</f>
        <v>65915</v>
      </c>
      <c r="E111" s="487">
        <f>IF(+J96&lt;F110,J96,D111)</f>
        <v>2059</v>
      </c>
      <c r="F111" s="486">
        <f t="shared" ref="F111:F129" si="34">+D111-E111</f>
        <v>63856</v>
      </c>
      <c r="G111" s="486">
        <f t="shared" ref="G111:G129" si="35">+(F111+D111)/2</f>
        <v>64885.5</v>
      </c>
      <c r="H111" s="489">
        <f t="shared" ref="H111:H154" si="36">+J$94*G111+E111</f>
        <v>8749.6051392547379</v>
      </c>
      <c r="I111" s="543">
        <f t="shared" ref="I111:I154" si="37">+J$95*G111+E111</f>
        <v>8749.6051392547379</v>
      </c>
      <c r="J111" s="479">
        <f t="shared" si="21"/>
        <v>0</v>
      </c>
      <c r="K111" s="479"/>
      <c r="L111" s="488"/>
      <c r="M111" s="479">
        <f t="shared" si="22"/>
        <v>0</v>
      </c>
      <c r="N111" s="488"/>
      <c r="O111" s="479">
        <f t="shared" si="23"/>
        <v>0</v>
      </c>
      <c r="P111" s="479">
        <f t="shared" si="24"/>
        <v>0</v>
      </c>
    </row>
    <row r="112" spans="1:16" ht="12.5">
      <c r="B112" s="160" t="str">
        <f t="shared" si="25"/>
        <v/>
      </c>
      <c r="C112" s="473">
        <f>IF(D93="","-",+C111+1)</f>
        <v>2020</v>
      </c>
      <c r="D112" s="347">
        <f>IF(F111+SUM(E$99:E111)=D$92,F111,D$92-SUM(E$99:E111))</f>
        <v>63856</v>
      </c>
      <c r="E112" s="487">
        <f>IF(+J96&lt;F111,J96,D112)</f>
        <v>2059</v>
      </c>
      <c r="F112" s="486">
        <f t="shared" si="34"/>
        <v>61797</v>
      </c>
      <c r="G112" s="486">
        <f t="shared" si="35"/>
        <v>62826.5</v>
      </c>
      <c r="H112" s="489">
        <f t="shared" si="36"/>
        <v>8537.293359554722</v>
      </c>
      <c r="I112" s="543">
        <f t="shared" si="37"/>
        <v>8537.293359554722</v>
      </c>
      <c r="J112" s="479">
        <f t="shared" si="21"/>
        <v>0</v>
      </c>
      <c r="K112" s="479"/>
      <c r="L112" s="488"/>
      <c r="M112" s="479">
        <f t="shared" si="22"/>
        <v>0</v>
      </c>
      <c r="N112" s="488"/>
      <c r="O112" s="479">
        <f t="shared" si="23"/>
        <v>0</v>
      </c>
      <c r="P112" s="479">
        <f t="shared" si="24"/>
        <v>0</v>
      </c>
    </row>
    <row r="113" spans="2:16" ht="12.5">
      <c r="B113" s="160" t="str">
        <f t="shared" si="25"/>
        <v/>
      </c>
      <c r="C113" s="473">
        <f>IF(D93="","-",+C112+1)</f>
        <v>2021</v>
      </c>
      <c r="D113" s="347">
        <f>IF(F112+SUM(E$99:E112)=D$92,F112,D$92-SUM(E$99:E112))</f>
        <v>61797</v>
      </c>
      <c r="E113" s="487">
        <f>IF(+J96&lt;F112,J96,D113)</f>
        <v>2059</v>
      </c>
      <c r="F113" s="486">
        <f t="shared" si="34"/>
        <v>59738</v>
      </c>
      <c r="G113" s="486">
        <f t="shared" si="35"/>
        <v>60767.5</v>
      </c>
      <c r="H113" s="489">
        <f t="shared" si="36"/>
        <v>8324.9815798547024</v>
      </c>
      <c r="I113" s="543">
        <f t="shared" si="37"/>
        <v>8324.9815798547024</v>
      </c>
      <c r="J113" s="479">
        <f t="shared" si="21"/>
        <v>0</v>
      </c>
      <c r="K113" s="479"/>
      <c r="L113" s="488"/>
      <c r="M113" s="479">
        <f t="shared" si="22"/>
        <v>0</v>
      </c>
      <c r="N113" s="488"/>
      <c r="O113" s="479">
        <f t="shared" si="23"/>
        <v>0</v>
      </c>
      <c r="P113" s="479">
        <f t="shared" si="24"/>
        <v>0</v>
      </c>
    </row>
    <row r="114" spans="2:16" ht="12.5">
      <c r="B114" s="160" t="str">
        <f t="shared" si="25"/>
        <v/>
      </c>
      <c r="C114" s="473">
        <f>IF(D93="","-",+C113+1)</f>
        <v>2022</v>
      </c>
      <c r="D114" s="347">
        <f>IF(F113+SUM(E$99:E113)=D$92,F113,D$92-SUM(E$99:E113))</f>
        <v>59738</v>
      </c>
      <c r="E114" s="487">
        <f>IF(+J96&lt;F113,J96,D114)</f>
        <v>2059</v>
      </c>
      <c r="F114" s="486">
        <f t="shared" si="34"/>
        <v>57679</v>
      </c>
      <c r="G114" s="486">
        <f t="shared" si="35"/>
        <v>58708.5</v>
      </c>
      <c r="H114" s="489">
        <f t="shared" si="36"/>
        <v>8112.6698001546847</v>
      </c>
      <c r="I114" s="543">
        <f t="shared" si="37"/>
        <v>8112.6698001546847</v>
      </c>
      <c r="J114" s="479">
        <f t="shared" si="21"/>
        <v>0</v>
      </c>
      <c r="K114" s="479"/>
      <c r="L114" s="488"/>
      <c r="M114" s="479">
        <f t="shared" si="22"/>
        <v>0</v>
      </c>
      <c r="N114" s="488"/>
      <c r="O114" s="479">
        <f t="shared" si="23"/>
        <v>0</v>
      </c>
      <c r="P114" s="479">
        <f t="shared" si="24"/>
        <v>0</v>
      </c>
    </row>
    <row r="115" spans="2:16" ht="12.5">
      <c r="B115" s="160" t="str">
        <f t="shared" si="25"/>
        <v/>
      </c>
      <c r="C115" s="473">
        <f>IF(D93="","-",+C114+1)</f>
        <v>2023</v>
      </c>
      <c r="D115" s="347">
        <f>IF(F114+SUM(E$99:E114)=D$92,F114,D$92-SUM(E$99:E114))</f>
        <v>57679</v>
      </c>
      <c r="E115" s="487">
        <f>IF(+J96&lt;F114,J96,D115)</f>
        <v>2059</v>
      </c>
      <c r="F115" s="486">
        <f t="shared" si="34"/>
        <v>55620</v>
      </c>
      <c r="G115" s="486">
        <f t="shared" si="35"/>
        <v>56649.5</v>
      </c>
      <c r="H115" s="489">
        <f t="shared" si="36"/>
        <v>7900.358020454667</v>
      </c>
      <c r="I115" s="543">
        <f t="shared" si="37"/>
        <v>7900.358020454667</v>
      </c>
      <c r="J115" s="479">
        <f t="shared" si="21"/>
        <v>0</v>
      </c>
      <c r="K115" s="479"/>
      <c r="L115" s="488"/>
      <c r="M115" s="479">
        <f t="shared" si="22"/>
        <v>0</v>
      </c>
      <c r="N115" s="488"/>
      <c r="O115" s="479">
        <f t="shared" si="23"/>
        <v>0</v>
      </c>
      <c r="P115" s="479">
        <f t="shared" si="24"/>
        <v>0</v>
      </c>
    </row>
    <row r="116" spans="2:16" ht="12.5">
      <c r="B116" s="160" t="str">
        <f t="shared" si="25"/>
        <v/>
      </c>
      <c r="C116" s="473">
        <f>IF(D93="","-",+C115+1)</f>
        <v>2024</v>
      </c>
      <c r="D116" s="347">
        <f>IF(F115+SUM(E$99:E115)=D$92,F115,D$92-SUM(E$99:E115))</f>
        <v>55620</v>
      </c>
      <c r="E116" s="487">
        <f>IF(+J96&lt;F115,J96,D116)</f>
        <v>2059</v>
      </c>
      <c r="F116" s="486">
        <f t="shared" si="34"/>
        <v>53561</v>
      </c>
      <c r="G116" s="486">
        <f t="shared" si="35"/>
        <v>54590.5</v>
      </c>
      <c r="H116" s="489">
        <f t="shared" si="36"/>
        <v>7688.0462407546493</v>
      </c>
      <c r="I116" s="543">
        <f t="shared" si="37"/>
        <v>7688.0462407546493</v>
      </c>
      <c r="J116" s="479">
        <f t="shared" si="21"/>
        <v>0</v>
      </c>
      <c r="K116" s="479"/>
      <c r="L116" s="488"/>
      <c r="M116" s="479">
        <f t="shared" si="22"/>
        <v>0</v>
      </c>
      <c r="N116" s="488"/>
      <c r="O116" s="479">
        <f t="shared" si="23"/>
        <v>0</v>
      </c>
      <c r="P116" s="479">
        <f t="shared" si="24"/>
        <v>0</v>
      </c>
    </row>
    <row r="117" spans="2:16" ht="12.5">
      <c r="B117" s="160" t="str">
        <f t="shared" si="25"/>
        <v/>
      </c>
      <c r="C117" s="473">
        <f>IF(D93="","-",+C116+1)</f>
        <v>2025</v>
      </c>
      <c r="D117" s="347">
        <f>IF(F116+SUM(E$99:E116)=D$92,F116,D$92-SUM(E$99:E116))</f>
        <v>53561</v>
      </c>
      <c r="E117" s="487">
        <f>IF(+J96&lt;F116,J96,D117)</f>
        <v>2059</v>
      </c>
      <c r="F117" s="486">
        <f t="shared" si="34"/>
        <v>51502</v>
      </c>
      <c r="G117" s="486">
        <f t="shared" si="35"/>
        <v>52531.5</v>
      </c>
      <c r="H117" s="489">
        <f t="shared" si="36"/>
        <v>7475.7344610546315</v>
      </c>
      <c r="I117" s="543">
        <f t="shared" si="37"/>
        <v>7475.7344610546315</v>
      </c>
      <c r="J117" s="479">
        <f t="shared" si="21"/>
        <v>0</v>
      </c>
      <c r="K117" s="479"/>
      <c r="L117" s="488"/>
      <c r="M117" s="479">
        <f t="shared" si="22"/>
        <v>0</v>
      </c>
      <c r="N117" s="488"/>
      <c r="O117" s="479">
        <f t="shared" si="23"/>
        <v>0</v>
      </c>
      <c r="P117" s="479">
        <f t="shared" si="24"/>
        <v>0</v>
      </c>
    </row>
    <row r="118" spans="2:16" ht="12.5">
      <c r="B118" s="160" t="str">
        <f t="shared" si="25"/>
        <v/>
      </c>
      <c r="C118" s="473">
        <f>IF(D93="","-",+C117+1)</f>
        <v>2026</v>
      </c>
      <c r="D118" s="347">
        <f>IF(F117+SUM(E$99:E117)=D$92,F117,D$92-SUM(E$99:E117))</f>
        <v>51502</v>
      </c>
      <c r="E118" s="487">
        <f>IF(+J96&lt;F117,J96,D118)</f>
        <v>2059</v>
      </c>
      <c r="F118" s="486">
        <f t="shared" si="34"/>
        <v>49443</v>
      </c>
      <c r="G118" s="486">
        <f t="shared" si="35"/>
        <v>50472.5</v>
      </c>
      <c r="H118" s="489">
        <f t="shared" si="36"/>
        <v>7263.4226813546138</v>
      </c>
      <c r="I118" s="543">
        <f t="shared" si="37"/>
        <v>7263.4226813546138</v>
      </c>
      <c r="J118" s="479">
        <f t="shared" si="21"/>
        <v>0</v>
      </c>
      <c r="K118" s="479"/>
      <c r="L118" s="488"/>
      <c r="M118" s="479">
        <f t="shared" si="22"/>
        <v>0</v>
      </c>
      <c r="N118" s="488"/>
      <c r="O118" s="479">
        <f t="shared" si="23"/>
        <v>0</v>
      </c>
      <c r="P118" s="479">
        <f t="shared" si="24"/>
        <v>0</v>
      </c>
    </row>
    <row r="119" spans="2:16" ht="12.5">
      <c r="B119" s="160" t="str">
        <f t="shared" si="25"/>
        <v/>
      </c>
      <c r="C119" s="473">
        <f>IF(D93="","-",+C118+1)</f>
        <v>2027</v>
      </c>
      <c r="D119" s="347">
        <f>IF(F118+SUM(E$99:E118)=D$92,F118,D$92-SUM(E$99:E118))</f>
        <v>49443</v>
      </c>
      <c r="E119" s="487">
        <f>IF(+J96&lt;F118,J96,D119)</f>
        <v>2059</v>
      </c>
      <c r="F119" s="486">
        <f t="shared" si="34"/>
        <v>47384</v>
      </c>
      <c r="G119" s="486">
        <f t="shared" si="35"/>
        <v>48413.5</v>
      </c>
      <c r="H119" s="489">
        <f t="shared" si="36"/>
        <v>7051.1109016545961</v>
      </c>
      <c r="I119" s="543">
        <f t="shared" si="37"/>
        <v>7051.1109016545961</v>
      </c>
      <c r="J119" s="479">
        <f t="shared" si="21"/>
        <v>0</v>
      </c>
      <c r="K119" s="479"/>
      <c r="L119" s="488"/>
      <c r="M119" s="479">
        <f t="shared" si="22"/>
        <v>0</v>
      </c>
      <c r="N119" s="488"/>
      <c r="O119" s="479">
        <f t="shared" si="23"/>
        <v>0</v>
      </c>
      <c r="P119" s="479">
        <f t="shared" si="24"/>
        <v>0</v>
      </c>
    </row>
    <row r="120" spans="2:16" ht="12.5">
      <c r="B120" s="160" t="str">
        <f t="shared" si="25"/>
        <v/>
      </c>
      <c r="C120" s="473">
        <f>IF(D93="","-",+C119+1)</f>
        <v>2028</v>
      </c>
      <c r="D120" s="347">
        <f>IF(F119+SUM(E$99:E119)=D$92,F119,D$92-SUM(E$99:E119))</f>
        <v>47384</v>
      </c>
      <c r="E120" s="487">
        <f>IF(+J96&lt;F119,J96,D120)</f>
        <v>2059</v>
      </c>
      <c r="F120" s="486">
        <f t="shared" si="34"/>
        <v>45325</v>
      </c>
      <c r="G120" s="486">
        <f t="shared" si="35"/>
        <v>46354.5</v>
      </c>
      <c r="H120" s="489">
        <f t="shared" si="36"/>
        <v>6838.7991219545784</v>
      </c>
      <c r="I120" s="543">
        <f t="shared" si="37"/>
        <v>6838.7991219545784</v>
      </c>
      <c r="J120" s="479">
        <f t="shared" si="21"/>
        <v>0</v>
      </c>
      <c r="K120" s="479"/>
      <c r="L120" s="488"/>
      <c r="M120" s="479">
        <f t="shared" si="22"/>
        <v>0</v>
      </c>
      <c r="N120" s="488"/>
      <c r="O120" s="479">
        <f t="shared" si="23"/>
        <v>0</v>
      </c>
      <c r="P120" s="479">
        <f t="shared" si="24"/>
        <v>0</v>
      </c>
    </row>
    <row r="121" spans="2:16" ht="12.5">
      <c r="B121" s="160" t="str">
        <f t="shared" si="25"/>
        <v/>
      </c>
      <c r="C121" s="473">
        <f>IF(D93="","-",+C120+1)</f>
        <v>2029</v>
      </c>
      <c r="D121" s="347">
        <f>IF(F120+SUM(E$99:E120)=D$92,F120,D$92-SUM(E$99:E120))</f>
        <v>45325</v>
      </c>
      <c r="E121" s="487">
        <f>IF(+J96&lt;F120,J96,D121)</f>
        <v>2059</v>
      </c>
      <c r="F121" s="486">
        <f t="shared" si="34"/>
        <v>43266</v>
      </c>
      <c r="G121" s="486">
        <f t="shared" si="35"/>
        <v>44295.5</v>
      </c>
      <c r="H121" s="489">
        <f t="shared" si="36"/>
        <v>6626.4873422545606</v>
      </c>
      <c r="I121" s="543">
        <f t="shared" si="37"/>
        <v>6626.4873422545606</v>
      </c>
      <c r="J121" s="479">
        <f t="shared" si="21"/>
        <v>0</v>
      </c>
      <c r="K121" s="479"/>
      <c r="L121" s="488"/>
      <c r="M121" s="479">
        <f t="shared" si="22"/>
        <v>0</v>
      </c>
      <c r="N121" s="488"/>
      <c r="O121" s="479">
        <f t="shared" si="23"/>
        <v>0</v>
      </c>
      <c r="P121" s="479">
        <f t="shared" si="24"/>
        <v>0</v>
      </c>
    </row>
    <row r="122" spans="2:16" ht="12.5">
      <c r="B122" s="160" t="str">
        <f t="shared" si="25"/>
        <v/>
      </c>
      <c r="C122" s="473">
        <f>IF(D93="","-",+C121+1)</f>
        <v>2030</v>
      </c>
      <c r="D122" s="347">
        <f>IF(F121+SUM(E$99:E121)=D$92,F121,D$92-SUM(E$99:E121))</f>
        <v>43266</v>
      </c>
      <c r="E122" s="487">
        <f>IF(+J96&lt;F121,J96,D122)</f>
        <v>2059</v>
      </c>
      <c r="F122" s="486">
        <f t="shared" si="34"/>
        <v>41207</v>
      </c>
      <c r="G122" s="486">
        <f t="shared" si="35"/>
        <v>42236.5</v>
      </c>
      <c r="H122" s="489">
        <f t="shared" si="36"/>
        <v>6414.1755625545429</v>
      </c>
      <c r="I122" s="543">
        <f t="shared" si="37"/>
        <v>6414.1755625545429</v>
      </c>
      <c r="J122" s="479">
        <f t="shared" si="21"/>
        <v>0</v>
      </c>
      <c r="K122" s="479"/>
      <c r="L122" s="488"/>
      <c r="M122" s="479">
        <f t="shared" si="22"/>
        <v>0</v>
      </c>
      <c r="N122" s="488"/>
      <c r="O122" s="479">
        <f t="shared" si="23"/>
        <v>0</v>
      </c>
      <c r="P122" s="479">
        <f t="shared" si="24"/>
        <v>0</v>
      </c>
    </row>
    <row r="123" spans="2:16" ht="12.5">
      <c r="B123" s="160" t="str">
        <f t="shared" si="25"/>
        <v/>
      </c>
      <c r="C123" s="473">
        <f>IF(D93="","-",+C122+1)</f>
        <v>2031</v>
      </c>
      <c r="D123" s="347">
        <f>IF(F122+SUM(E$99:E122)=D$92,F122,D$92-SUM(E$99:E122))</f>
        <v>41207</v>
      </c>
      <c r="E123" s="487">
        <f>IF(+J96&lt;F122,J96,D123)</f>
        <v>2059</v>
      </c>
      <c r="F123" s="486">
        <f t="shared" si="34"/>
        <v>39148</v>
      </c>
      <c r="G123" s="486">
        <f t="shared" si="35"/>
        <v>40177.5</v>
      </c>
      <c r="H123" s="489">
        <f t="shared" si="36"/>
        <v>6201.8637828545243</v>
      </c>
      <c r="I123" s="543">
        <f t="shared" si="37"/>
        <v>6201.8637828545243</v>
      </c>
      <c r="J123" s="479">
        <f t="shared" si="21"/>
        <v>0</v>
      </c>
      <c r="K123" s="479"/>
      <c r="L123" s="488"/>
      <c r="M123" s="479">
        <f t="shared" si="22"/>
        <v>0</v>
      </c>
      <c r="N123" s="488"/>
      <c r="O123" s="479">
        <f t="shared" si="23"/>
        <v>0</v>
      </c>
      <c r="P123" s="479">
        <f t="shared" si="24"/>
        <v>0</v>
      </c>
    </row>
    <row r="124" spans="2:16" ht="12.5">
      <c r="B124" s="160" t="str">
        <f t="shared" si="25"/>
        <v/>
      </c>
      <c r="C124" s="473">
        <f>IF(D93="","-",+C123+1)</f>
        <v>2032</v>
      </c>
      <c r="D124" s="347">
        <f>IF(F123+SUM(E$99:E123)=D$92,F123,D$92-SUM(E$99:E123))</f>
        <v>39148</v>
      </c>
      <c r="E124" s="487">
        <f>IF(+J96&lt;F123,J96,D124)</f>
        <v>2059</v>
      </c>
      <c r="F124" s="486">
        <f t="shared" si="34"/>
        <v>37089</v>
      </c>
      <c r="G124" s="486">
        <f t="shared" si="35"/>
        <v>38118.5</v>
      </c>
      <c r="H124" s="489">
        <f t="shared" si="36"/>
        <v>5989.5520031545075</v>
      </c>
      <c r="I124" s="543">
        <f t="shared" si="37"/>
        <v>5989.5520031545075</v>
      </c>
      <c r="J124" s="479">
        <f t="shared" si="21"/>
        <v>0</v>
      </c>
      <c r="K124" s="479"/>
      <c r="L124" s="488"/>
      <c r="M124" s="479">
        <f t="shared" si="22"/>
        <v>0</v>
      </c>
      <c r="N124" s="488"/>
      <c r="O124" s="479">
        <f t="shared" si="23"/>
        <v>0</v>
      </c>
      <c r="P124" s="479">
        <f t="shared" si="24"/>
        <v>0</v>
      </c>
    </row>
    <row r="125" spans="2:16" ht="12.5">
      <c r="B125" s="160" t="str">
        <f t="shared" si="25"/>
        <v/>
      </c>
      <c r="C125" s="473">
        <f>IF(D93="","-",+C124+1)</f>
        <v>2033</v>
      </c>
      <c r="D125" s="347">
        <f>IF(F124+SUM(E$99:E124)=D$92,F124,D$92-SUM(E$99:E124))</f>
        <v>37089</v>
      </c>
      <c r="E125" s="487">
        <f>IF(+J96&lt;F124,J96,D125)</f>
        <v>2059</v>
      </c>
      <c r="F125" s="486">
        <f t="shared" si="34"/>
        <v>35030</v>
      </c>
      <c r="G125" s="486">
        <f t="shared" si="35"/>
        <v>36059.5</v>
      </c>
      <c r="H125" s="489">
        <f t="shared" si="36"/>
        <v>5777.2402234544888</v>
      </c>
      <c r="I125" s="543">
        <f t="shared" si="37"/>
        <v>5777.2402234544888</v>
      </c>
      <c r="J125" s="479">
        <f t="shared" si="21"/>
        <v>0</v>
      </c>
      <c r="K125" s="479"/>
      <c r="L125" s="488"/>
      <c r="M125" s="479">
        <f t="shared" si="22"/>
        <v>0</v>
      </c>
      <c r="N125" s="488"/>
      <c r="O125" s="479">
        <f t="shared" si="23"/>
        <v>0</v>
      </c>
      <c r="P125" s="479">
        <f t="shared" si="24"/>
        <v>0</v>
      </c>
    </row>
    <row r="126" spans="2:16" ht="12.5">
      <c r="B126" s="160" t="str">
        <f t="shared" si="25"/>
        <v/>
      </c>
      <c r="C126" s="473">
        <f>IF(D93="","-",+C125+1)</f>
        <v>2034</v>
      </c>
      <c r="D126" s="347">
        <f>IF(F125+SUM(E$99:E125)=D$92,F125,D$92-SUM(E$99:E125))</f>
        <v>35030</v>
      </c>
      <c r="E126" s="487">
        <f>IF(+J96&lt;F125,J96,D126)</f>
        <v>2059</v>
      </c>
      <c r="F126" s="486">
        <f t="shared" si="34"/>
        <v>32971</v>
      </c>
      <c r="G126" s="486">
        <f t="shared" si="35"/>
        <v>34000.5</v>
      </c>
      <c r="H126" s="489">
        <f t="shared" si="36"/>
        <v>5564.9284437544711</v>
      </c>
      <c r="I126" s="543">
        <f t="shared" si="37"/>
        <v>5564.9284437544711</v>
      </c>
      <c r="J126" s="479">
        <f t="shared" si="21"/>
        <v>0</v>
      </c>
      <c r="K126" s="479"/>
      <c r="L126" s="488"/>
      <c r="M126" s="479">
        <f t="shared" si="22"/>
        <v>0</v>
      </c>
      <c r="N126" s="488"/>
      <c r="O126" s="479">
        <f t="shared" si="23"/>
        <v>0</v>
      </c>
      <c r="P126" s="479">
        <f t="shared" si="24"/>
        <v>0</v>
      </c>
    </row>
    <row r="127" spans="2:16" ht="12.5">
      <c r="B127" s="160" t="str">
        <f t="shared" si="25"/>
        <v/>
      </c>
      <c r="C127" s="473">
        <f>IF(D93="","-",+C126+1)</f>
        <v>2035</v>
      </c>
      <c r="D127" s="347">
        <f>IF(F126+SUM(E$99:E126)=D$92,F126,D$92-SUM(E$99:E126))</f>
        <v>32971</v>
      </c>
      <c r="E127" s="487">
        <f>IF(+J96&lt;F126,J96,D127)</f>
        <v>2059</v>
      </c>
      <c r="F127" s="486">
        <f t="shared" si="34"/>
        <v>30912</v>
      </c>
      <c r="G127" s="486">
        <f t="shared" si="35"/>
        <v>31941.5</v>
      </c>
      <c r="H127" s="489">
        <f t="shared" si="36"/>
        <v>5352.6166640544534</v>
      </c>
      <c r="I127" s="543">
        <f t="shared" si="37"/>
        <v>5352.6166640544534</v>
      </c>
      <c r="J127" s="479">
        <f t="shared" si="21"/>
        <v>0</v>
      </c>
      <c r="K127" s="479"/>
      <c r="L127" s="488"/>
      <c r="M127" s="479">
        <f t="shared" si="22"/>
        <v>0</v>
      </c>
      <c r="N127" s="488"/>
      <c r="O127" s="479">
        <f t="shared" si="23"/>
        <v>0</v>
      </c>
      <c r="P127" s="479">
        <f t="shared" si="24"/>
        <v>0</v>
      </c>
    </row>
    <row r="128" spans="2:16" ht="12.5">
      <c r="B128" s="160" t="str">
        <f t="shared" si="25"/>
        <v/>
      </c>
      <c r="C128" s="473">
        <f>IF(D93="","-",+C127+1)</f>
        <v>2036</v>
      </c>
      <c r="D128" s="347">
        <f>IF(F127+SUM(E$99:E127)=D$92,F127,D$92-SUM(E$99:E127))</f>
        <v>30912</v>
      </c>
      <c r="E128" s="487">
        <f>IF(+J96&lt;F127,J96,D128)</f>
        <v>2059</v>
      </c>
      <c r="F128" s="486">
        <f t="shared" si="34"/>
        <v>28853</v>
      </c>
      <c r="G128" s="486">
        <f t="shared" si="35"/>
        <v>29882.5</v>
      </c>
      <c r="H128" s="489">
        <f t="shared" si="36"/>
        <v>5140.3048843544357</v>
      </c>
      <c r="I128" s="543">
        <f t="shared" si="37"/>
        <v>5140.3048843544357</v>
      </c>
      <c r="J128" s="479">
        <f t="shared" si="21"/>
        <v>0</v>
      </c>
      <c r="K128" s="479"/>
      <c r="L128" s="488"/>
      <c r="M128" s="479">
        <f t="shared" si="22"/>
        <v>0</v>
      </c>
      <c r="N128" s="488"/>
      <c r="O128" s="479">
        <f t="shared" si="23"/>
        <v>0</v>
      </c>
      <c r="P128" s="479">
        <f t="shared" si="24"/>
        <v>0</v>
      </c>
    </row>
    <row r="129" spans="2:16" ht="12.5">
      <c r="B129" s="160" t="str">
        <f t="shared" si="25"/>
        <v/>
      </c>
      <c r="C129" s="473">
        <f>IF(D93="","-",+C128+1)</f>
        <v>2037</v>
      </c>
      <c r="D129" s="347">
        <f>IF(F128+SUM(E$99:E128)=D$92,F128,D$92-SUM(E$99:E128))</f>
        <v>28853</v>
      </c>
      <c r="E129" s="487">
        <f>IF(+J96&lt;F128,J96,D129)</f>
        <v>2059</v>
      </c>
      <c r="F129" s="486">
        <f t="shared" si="34"/>
        <v>26794</v>
      </c>
      <c r="G129" s="486">
        <f t="shared" si="35"/>
        <v>27823.5</v>
      </c>
      <c r="H129" s="489">
        <f t="shared" si="36"/>
        <v>4927.993104654417</v>
      </c>
      <c r="I129" s="543">
        <f t="shared" si="37"/>
        <v>4927.993104654417</v>
      </c>
      <c r="J129" s="479">
        <f t="shared" si="21"/>
        <v>0</v>
      </c>
      <c r="K129" s="479"/>
      <c r="L129" s="488"/>
      <c r="M129" s="479">
        <f t="shared" si="22"/>
        <v>0</v>
      </c>
      <c r="N129" s="488"/>
      <c r="O129" s="479">
        <f t="shared" si="23"/>
        <v>0</v>
      </c>
      <c r="P129" s="479">
        <f t="shared" si="24"/>
        <v>0</v>
      </c>
    </row>
    <row r="130" spans="2:16" ht="12.5">
      <c r="B130" s="160" t="str">
        <f t="shared" si="25"/>
        <v/>
      </c>
      <c r="C130" s="473">
        <f>IF(D93="","-",+C129+1)</f>
        <v>2038</v>
      </c>
      <c r="D130" s="347">
        <f>IF(F129+SUM(E$99:E129)=D$92,F129,D$92-SUM(E$99:E129))</f>
        <v>26794</v>
      </c>
      <c r="E130" s="487">
        <f>IF(+J96&lt;F129,J96,D130)</f>
        <v>2059</v>
      </c>
      <c r="F130" s="486">
        <f t="shared" ref="F130:F153" si="38">+D130-E130</f>
        <v>24735</v>
      </c>
      <c r="G130" s="486">
        <f t="shared" ref="G130:G153" si="39">+(F130+D130)/2</f>
        <v>25764.5</v>
      </c>
      <c r="H130" s="489">
        <f t="shared" si="36"/>
        <v>4715.6813249543993</v>
      </c>
      <c r="I130" s="543">
        <f t="shared" si="37"/>
        <v>4715.6813249543993</v>
      </c>
      <c r="J130" s="479">
        <f t="shared" si="21"/>
        <v>0</v>
      </c>
      <c r="K130" s="479"/>
      <c r="L130" s="488"/>
      <c r="M130" s="479">
        <f t="shared" si="22"/>
        <v>0</v>
      </c>
      <c r="N130" s="488"/>
      <c r="O130" s="479">
        <f t="shared" si="23"/>
        <v>0</v>
      </c>
      <c r="P130" s="479">
        <f t="shared" si="24"/>
        <v>0</v>
      </c>
    </row>
    <row r="131" spans="2:16" ht="12.5">
      <c r="B131" s="160" t="str">
        <f t="shared" si="25"/>
        <v/>
      </c>
      <c r="C131" s="473">
        <f>IF(D93="","-",+C130+1)</f>
        <v>2039</v>
      </c>
      <c r="D131" s="347">
        <f>IF(F130+SUM(E$99:E130)=D$92,F130,D$92-SUM(E$99:E130))</f>
        <v>24735</v>
      </c>
      <c r="E131" s="487">
        <f>IF(+J96&lt;F130,J96,D131)</f>
        <v>2059</v>
      </c>
      <c r="F131" s="486">
        <f t="shared" si="38"/>
        <v>22676</v>
      </c>
      <c r="G131" s="486">
        <f t="shared" si="39"/>
        <v>23705.5</v>
      </c>
      <c r="H131" s="489">
        <f t="shared" si="36"/>
        <v>4503.3695452543816</v>
      </c>
      <c r="I131" s="543">
        <f t="shared" si="37"/>
        <v>4503.3695452543816</v>
      </c>
      <c r="J131" s="479">
        <f t="shared" ref="J131:J154" si="40">+I382-H382</f>
        <v>0</v>
      </c>
      <c r="K131" s="479"/>
      <c r="L131" s="488"/>
      <c r="M131" s="479">
        <f t="shared" ref="M131:M154" si="41">IF(L382&lt;&gt;0,+H382-L382,0)</f>
        <v>0</v>
      </c>
      <c r="N131" s="488"/>
      <c r="O131" s="479">
        <f t="shared" ref="O131:O154" si="42">IF(N382&lt;&gt;0,+I382-N382,0)</f>
        <v>0</v>
      </c>
      <c r="P131" s="479">
        <f t="shared" ref="P131:P154" si="43">+O382-M382</f>
        <v>0</v>
      </c>
    </row>
    <row r="132" spans="2:16" ht="12.5">
      <c r="B132" s="160" t="str">
        <f t="shared" si="25"/>
        <v/>
      </c>
      <c r="C132" s="473">
        <f>IF(D93="","-",+C131+1)</f>
        <v>2040</v>
      </c>
      <c r="D132" s="347">
        <f>IF(F131+SUM(E$99:E131)=D$92,F131,D$92-SUM(E$99:E131))</f>
        <v>22676</v>
      </c>
      <c r="E132" s="487">
        <f>IF(+J96&lt;F131,J96,D132)</f>
        <v>2059</v>
      </c>
      <c r="F132" s="486">
        <f t="shared" si="38"/>
        <v>20617</v>
      </c>
      <c r="G132" s="486">
        <f t="shared" si="39"/>
        <v>21646.5</v>
      </c>
      <c r="H132" s="489">
        <f t="shared" si="36"/>
        <v>4291.0577655543639</v>
      </c>
      <c r="I132" s="543">
        <f t="shared" si="37"/>
        <v>4291.0577655543639</v>
      </c>
      <c r="J132" s="479">
        <f t="shared" si="40"/>
        <v>0</v>
      </c>
      <c r="K132" s="479"/>
      <c r="L132" s="488"/>
      <c r="M132" s="479">
        <f t="shared" si="41"/>
        <v>0</v>
      </c>
      <c r="N132" s="488"/>
      <c r="O132" s="479">
        <f t="shared" si="42"/>
        <v>0</v>
      </c>
      <c r="P132" s="479">
        <f t="shared" si="43"/>
        <v>0</v>
      </c>
    </row>
    <row r="133" spans="2:16" ht="12.5">
      <c r="B133" s="160" t="str">
        <f t="shared" si="25"/>
        <v/>
      </c>
      <c r="C133" s="473">
        <f>IF(D93="","-",+C132+1)</f>
        <v>2041</v>
      </c>
      <c r="D133" s="347">
        <f>IF(F132+SUM(E$99:E132)=D$92,F132,D$92-SUM(E$99:E132))</f>
        <v>20617</v>
      </c>
      <c r="E133" s="487">
        <f>IF(+J96&lt;F132,J96,D133)</f>
        <v>2059</v>
      </c>
      <c r="F133" s="486">
        <f t="shared" si="38"/>
        <v>18558</v>
      </c>
      <c r="G133" s="486">
        <f t="shared" si="39"/>
        <v>19587.5</v>
      </c>
      <c r="H133" s="489">
        <f t="shared" si="36"/>
        <v>4078.7459858543461</v>
      </c>
      <c r="I133" s="543">
        <f t="shared" si="37"/>
        <v>4078.7459858543461</v>
      </c>
      <c r="J133" s="479">
        <f t="shared" si="40"/>
        <v>0</v>
      </c>
      <c r="K133" s="479"/>
      <c r="L133" s="488"/>
      <c r="M133" s="479">
        <f t="shared" si="41"/>
        <v>0</v>
      </c>
      <c r="N133" s="488"/>
      <c r="O133" s="479">
        <f t="shared" si="42"/>
        <v>0</v>
      </c>
      <c r="P133" s="479">
        <f t="shared" si="43"/>
        <v>0</v>
      </c>
    </row>
    <row r="134" spans="2:16" ht="12.5">
      <c r="B134" s="160" t="str">
        <f t="shared" si="25"/>
        <v/>
      </c>
      <c r="C134" s="473">
        <f>IF(D93="","-",+C133+1)</f>
        <v>2042</v>
      </c>
      <c r="D134" s="347">
        <f>IF(F133+SUM(E$99:E133)=D$92,F133,D$92-SUM(E$99:E133))</f>
        <v>18558</v>
      </c>
      <c r="E134" s="487">
        <f>IF(+J96&lt;F133,J96,D134)</f>
        <v>2059</v>
      </c>
      <c r="F134" s="486">
        <f t="shared" si="38"/>
        <v>16499</v>
      </c>
      <c r="G134" s="486">
        <f t="shared" si="39"/>
        <v>17528.5</v>
      </c>
      <c r="H134" s="489">
        <f t="shared" si="36"/>
        <v>3866.4342061543284</v>
      </c>
      <c r="I134" s="543">
        <f t="shared" si="37"/>
        <v>3866.4342061543284</v>
      </c>
      <c r="J134" s="479">
        <f t="shared" si="40"/>
        <v>0</v>
      </c>
      <c r="K134" s="479"/>
      <c r="L134" s="488"/>
      <c r="M134" s="479">
        <f t="shared" si="41"/>
        <v>0</v>
      </c>
      <c r="N134" s="488"/>
      <c r="O134" s="479">
        <f t="shared" si="42"/>
        <v>0</v>
      </c>
      <c r="P134" s="479">
        <f t="shared" si="43"/>
        <v>0</v>
      </c>
    </row>
    <row r="135" spans="2:16" ht="12.5">
      <c r="B135" s="160" t="str">
        <f t="shared" si="25"/>
        <v/>
      </c>
      <c r="C135" s="473">
        <f>IF(D93="","-",+C134+1)</f>
        <v>2043</v>
      </c>
      <c r="D135" s="347">
        <f>IF(F134+SUM(E$99:E134)=D$92,F134,D$92-SUM(E$99:E134))</f>
        <v>16499</v>
      </c>
      <c r="E135" s="487">
        <f>IF(+J96&lt;F134,J96,D135)</f>
        <v>2059</v>
      </c>
      <c r="F135" s="486">
        <f t="shared" si="38"/>
        <v>14440</v>
      </c>
      <c r="G135" s="486">
        <f t="shared" si="39"/>
        <v>15469.5</v>
      </c>
      <c r="H135" s="489">
        <f t="shared" si="36"/>
        <v>3654.1224264543107</v>
      </c>
      <c r="I135" s="543">
        <f t="shared" si="37"/>
        <v>3654.1224264543107</v>
      </c>
      <c r="J135" s="479">
        <f t="shared" si="40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3"/>
        <v>0</v>
      </c>
    </row>
    <row r="136" spans="2:16" ht="12.5">
      <c r="B136" s="160" t="str">
        <f t="shared" si="25"/>
        <v/>
      </c>
      <c r="C136" s="473">
        <f>IF(D93="","-",+C135+1)</f>
        <v>2044</v>
      </c>
      <c r="D136" s="347">
        <f>IF(F135+SUM(E$99:E135)=D$92,F135,D$92-SUM(E$99:E135))</f>
        <v>14440</v>
      </c>
      <c r="E136" s="487">
        <f>IF(+J96&lt;F135,J96,D136)</f>
        <v>2059</v>
      </c>
      <c r="F136" s="486">
        <f t="shared" si="38"/>
        <v>12381</v>
      </c>
      <c r="G136" s="486">
        <f t="shared" si="39"/>
        <v>13410.5</v>
      </c>
      <c r="H136" s="489">
        <f t="shared" si="36"/>
        <v>3441.810646754293</v>
      </c>
      <c r="I136" s="543">
        <f t="shared" si="37"/>
        <v>3441.810646754293</v>
      </c>
      <c r="J136" s="479">
        <f t="shared" si="40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3"/>
        <v>0</v>
      </c>
    </row>
    <row r="137" spans="2:16" ht="12.5">
      <c r="B137" s="160" t="str">
        <f t="shared" si="25"/>
        <v/>
      </c>
      <c r="C137" s="473">
        <f>IF(D93="","-",+C136+1)</f>
        <v>2045</v>
      </c>
      <c r="D137" s="347">
        <f>IF(F136+SUM(E$99:E136)=D$92,F136,D$92-SUM(E$99:E136))</f>
        <v>12381</v>
      </c>
      <c r="E137" s="487">
        <f>IF(+J96&lt;F136,J96,D137)</f>
        <v>2059</v>
      </c>
      <c r="F137" s="486">
        <f t="shared" si="38"/>
        <v>10322</v>
      </c>
      <c r="G137" s="486">
        <f t="shared" si="39"/>
        <v>11351.5</v>
      </c>
      <c r="H137" s="489">
        <f t="shared" si="36"/>
        <v>3229.4988670542753</v>
      </c>
      <c r="I137" s="543">
        <f t="shared" si="37"/>
        <v>3229.4988670542753</v>
      </c>
      <c r="J137" s="479">
        <f t="shared" si="40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3"/>
        <v>0</v>
      </c>
    </row>
    <row r="138" spans="2:16" ht="12.5">
      <c r="B138" s="160" t="str">
        <f t="shared" si="25"/>
        <v/>
      </c>
      <c r="C138" s="473">
        <f>IF(D93="","-",+C137+1)</f>
        <v>2046</v>
      </c>
      <c r="D138" s="347">
        <f>IF(F137+SUM(E$99:E137)=D$92,F137,D$92-SUM(E$99:E137))</f>
        <v>10322</v>
      </c>
      <c r="E138" s="487">
        <f>IF(+J96&lt;F137,J96,D138)</f>
        <v>2059</v>
      </c>
      <c r="F138" s="486">
        <f t="shared" si="38"/>
        <v>8263</v>
      </c>
      <c r="G138" s="486">
        <f t="shared" si="39"/>
        <v>9292.5</v>
      </c>
      <c r="H138" s="489">
        <f t="shared" si="36"/>
        <v>3017.1870873542571</v>
      </c>
      <c r="I138" s="543">
        <f t="shared" si="37"/>
        <v>3017.1870873542571</v>
      </c>
      <c r="J138" s="479">
        <f t="shared" si="40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3"/>
        <v>0</v>
      </c>
    </row>
    <row r="139" spans="2:16" ht="12.5">
      <c r="B139" s="160" t="str">
        <f t="shared" si="25"/>
        <v/>
      </c>
      <c r="C139" s="473">
        <f>IF(D93="","-",+C138+1)</f>
        <v>2047</v>
      </c>
      <c r="D139" s="347">
        <f>IF(F138+SUM(E$99:E138)=D$92,F138,D$92-SUM(E$99:E138))</f>
        <v>8263</v>
      </c>
      <c r="E139" s="487">
        <f>IF(+J96&lt;F138,J96,D139)</f>
        <v>2059</v>
      </c>
      <c r="F139" s="486">
        <f t="shared" si="38"/>
        <v>6204</v>
      </c>
      <c r="G139" s="486">
        <f t="shared" si="39"/>
        <v>7233.5</v>
      </c>
      <c r="H139" s="489">
        <f t="shared" si="36"/>
        <v>2804.8753076542394</v>
      </c>
      <c r="I139" s="543">
        <f t="shared" si="37"/>
        <v>2804.8753076542394</v>
      </c>
      <c r="J139" s="479">
        <f t="shared" si="40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3"/>
        <v>0</v>
      </c>
    </row>
    <row r="140" spans="2:16" ht="12.5">
      <c r="B140" s="160" t="str">
        <f t="shared" si="25"/>
        <v/>
      </c>
      <c r="C140" s="473">
        <f>IF(D93="","-",+C139+1)</f>
        <v>2048</v>
      </c>
      <c r="D140" s="347">
        <f>IF(F139+SUM(E$99:E139)=D$92,F139,D$92-SUM(E$99:E139))</f>
        <v>6204</v>
      </c>
      <c r="E140" s="487">
        <f>IF(+J96&lt;F139,J96,D140)</f>
        <v>2059</v>
      </c>
      <c r="F140" s="486">
        <f t="shared" si="38"/>
        <v>4145</v>
      </c>
      <c r="G140" s="486">
        <f t="shared" si="39"/>
        <v>5174.5</v>
      </c>
      <c r="H140" s="489">
        <f t="shared" si="36"/>
        <v>2592.5635279542216</v>
      </c>
      <c r="I140" s="543">
        <f t="shared" si="37"/>
        <v>2592.5635279542216</v>
      </c>
      <c r="J140" s="479">
        <f t="shared" si="40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3"/>
        <v>0</v>
      </c>
    </row>
    <row r="141" spans="2:16" ht="12.5">
      <c r="B141" s="160" t="str">
        <f t="shared" si="25"/>
        <v/>
      </c>
      <c r="C141" s="473">
        <f>IF(D93="","-",+C140+1)</f>
        <v>2049</v>
      </c>
      <c r="D141" s="347">
        <f>IF(F140+SUM(E$99:E140)=D$92,F140,D$92-SUM(E$99:E140))</f>
        <v>4145</v>
      </c>
      <c r="E141" s="487">
        <f>IF(+J96&lt;F140,J96,D141)</f>
        <v>2059</v>
      </c>
      <c r="F141" s="486">
        <f t="shared" si="38"/>
        <v>2086</v>
      </c>
      <c r="G141" s="486">
        <f t="shared" si="39"/>
        <v>3115.5</v>
      </c>
      <c r="H141" s="489">
        <f t="shared" si="36"/>
        <v>2380.2517482542039</v>
      </c>
      <c r="I141" s="543">
        <f t="shared" si="37"/>
        <v>2380.2517482542039</v>
      </c>
      <c r="J141" s="479">
        <f t="shared" si="40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3"/>
        <v>0</v>
      </c>
    </row>
    <row r="142" spans="2:16" ht="12.5">
      <c r="B142" s="160" t="str">
        <f t="shared" si="25"/>
        <v/>
      </c>
      <c r="C142" s="473">
        <f>IF(D93="","-",+C141+1)</f>
        <v>2050</v>
      </c>
      <c r="D142" s="347">
        <f>IF(F141+SUM(E$99:E141)=D$92,F141,D$92-SUM(E$99:E141))</f>
        <v>2086</v>
      </c>
      <c r="E142" s="487">
        <f>IF(+J96&lt;F141,J96,D142)</f>
        <v>2059</v>
      </c>
      <c r="F142" s="486">
        <f t="shared" si="38"/>
        <v>27</v>
      </c>
      <c r="G142" s="486">
        <f t="shared" si="39"/>
        <v>1056.5</v>
      </c>
      <c r="H142" s="489">
        <f t="shared" si="36"/>
        <v>2167.9399685541857</v>
      </c>
      <c r="I142" s="543">
        <f t="shared" si="37"/>
        <v>2167.9399685541857</v>
      </c>
      <c r="J142" s="479">
        <f t="shared" si="40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3"/>
        <v>0</v>
      </c>
    </row>
    <row r="143" spans="2:16" ht="12.5">
      <c r="B143" s="160" t="str">
        <f t="shared" si="25"/>
        <v/>
      </c>
      <c r="C143" s="473">
        <f>IF(D93="","-",+C142+1)</f>
        <v>2051</v>
      </c>
      <c r="D143" s="347">
        <f>IF(F142+SUM(E$99:E142)=D$92,F142,D$92-SUM(E$99:E142))</f>
        <v>27</v>
      </c>
      <c r="E143" s="487">
        <f>IF(+J96&lt;F142,J96,D143)</f>
        <v>27</v>
      </c>
      <c r="F143" s="486">
        <f t="shared" si="38"/>
        <v>0</v>
      </c>
      <c r="G143" s="486">
        <f t="shared" si="39"/>
        <v>13.5</v>
      </c>
      <c r="H143" s="489">
        <f t="shared" si="36"/>
        <v>28.39203935208851</v>
      </c>
      <c r="I143" s="543">
        <f t="shared" si="37"/>
        <v>28.39203935208851</v>
      </c>
      <c r="J143" s="479">
        <f t="shared" si="40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3"/>
        <v>0</v>
      </c>
    </row>
    <row r="144" spans="2:16" ht="12.5">
      <c r="B144" s="160" t="str">
        <f t="shared" si="25"/>
        <v/>
      </c>
      <c r="C144" s="473">
        <f>IF(D93="","-",+C143+1)</f>
        <v>2052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8"/>
        <v>0</v>
      </c>
      <c r="G144" s="486">
        <f t="shared" si="39"/>
        <v>0</v>
      </c>
      <c r="H144" s="489">
        <f t="shared" si="36"/>
        <v>0</v>
      </c>
      <c r="I144" s="543">
        <f t="shared" si="37"/>
        <v>0</v>
      </c>
      <c r="J144" s="479">
        <f t="shared" si="40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3"/>
        <v>0</v>
      </c>
    </row>
    <row r="145" spans="2:16" ht="12.5">
      <c r="B145" s="160" t="str">
        <f t="shared" si="25"/>
        <v/>
      </c>
      <c r="C145" s="473">
        <f>IF(D93="","-",+C144+1)</f>
        <v>2053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8"/>
        <v>0</v>
      </c>
      <c r="G145" s="486">
        <f t="shared" si="39"/>
        <v>0</v>
      </c>
      <c r="H145" s="489">
        <f t="shared" si="36"/>
        <v>0</v>
      </c>
      <c r="I145" s="543">
        <f t="shared" si="37"/>
        <v>0</v>
      </c>
      <c r="J145" s="479">
        <f t="shared" si="40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3"/>
        <v>0</v>
      </c>
    </row>
    <row r="146" spans="2:16" ht="12.5">
      <c r="B146" s="160" t="str">
        <f t="shared" si="25"/>
        <v/>
      </c>
      <c r="C146" s="473">
        <f>IF(D93="","-",+C145+1)</f>
        <v>2054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8"/>
        <v>0</v>
      </c>
      <c r="G146" s="486">
        <f t="shared" si="39"/>
        <v>0</v>
      </c>
      <c r="H146" s="489">
        <f t="shared" si="36"/>
        <v>0</v>
      </c>
      <c r="I146" s="543">
        <f t="shared" si="37"/>
        <v>0</v>
      </c>
      <c r="J146" s="479">
        <f t="shared" si="40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3"/>
        <v>0</v>
      </c>
    </row>
    <row r="147" spans="2:16" ht="12.5">
      <c r="B147" s="160" t="str">
        <f t="shared" si="25"/>
        <v/>
      </c>
      <c r="C147" s="473">
        <f>IF(D93="","-",+C146+1)</f>
        <v>2055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8"/>
        <v>0</v>
      </c>
      <c r="G147" s="486">
        <f t="shared" si="39"/>
        <v>0</v>
      </c>
      <c r="H147" s="489">
        <f t="shared" si="36"/>
        <v>0</v>
      </c>
      <c r="I147" s="543">
        <f t="shared" si="37"/>
        <v>0</v>
      </c>
      <c r="J147" s="479">
        <f t="shared" si="40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3"/>
        <v>0</v>
      </c>
    </row>
    <row r="148" spans="2:16" ht="12.5">
      <c r="B148" s="160" t="str">
        <f t="shared" si="25"/>
        <v/>
      </c>
      <c r="C148" s="473">
        <f>IF(D93="","-",+C147+1)</f>
        <v>2056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8"/>
        <v>0</v>
      </c>
      <c r="G148" s="486">
        <f t="shared" si="39"/>
        <v>0</v>
      </c>
      <c r="H148" s="489">
        <f t="shared" si="36"/>
        <v>0</v>
      </c>
      <c r="I148" s="543">
        <f t="shared" si="37"/>
        <v>0</v>
      </c>
      <c r="J148" s="479">
        <f t="shared" si="40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3"/>
        <v>0</v>
      </c>
    </row>
    <row r="149" spans="2:16" ht="12.5">
      <c r="B149" s="160" t="str">
        <f t="shared" si="25"/>
        <v/>
      </c>
      <c r="C149" s="473">
        <f>IF(D93="","-",+C148+1)</f>
        <v>2057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8"/>
        <v>0</v>
      </c>
      <c r="G149" s="486">
        <f t="shared" si="39"/>
        <v>0</v>
      </c>
      <c r="H149" s="489">
        <f t="shared" si="36"/>
        <v>0</v>
      </c>
      <c r="I149" s="543">
        <f t="shared" si="37"/>
        <v>0</v>
      </c>
      <c r="J149" s="479">
        <f t="shared" si="40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3"/>
        <v>0</v>
      </c>
    </row>
    <row r="150" spans="2:16" ht="12.5">
      <c r="B150" s="160" t="str">
        <f t="shared" si="25"/>
        <v/>
      </c>
      <c r="C150" s="473">
        <f>IF(D93="","-",+C149+1)</f>
        <v>2058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8"/>
        <v>0</v>
      </c>
      <c r="G150" s="486">
        <f t="shared" si="39"/>
        <v>0</v>
      </c>
      <c r="H150" s="489">
        <f t="shared" si="36"/>
        <v>0</v>
      </c>
      <c r="I150" s="543">
        <f t="shared" si="37"/>
        <v>0</v>
      </c>
      <c r="J150" s="479">
        <f t="shared" si="40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3"/>
        <v>0</v>
      </c>
    </row>
    <row r="151" spans="2:16" ht="12.5">
      <c r="B151" s="160" t="str">
        <f t="shared" si="25"/>
        <v/>
      </c>
      <c r="C151" s="473">
        <f>IF(D93="","-",+C150+1)</f>
        <v>2059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8"/>
        <v>0</v>
      </c>
      <c r="G151" s="486">
        <f t="shared" si="39"/>
        <v>0</v>
      </c>
      <c r="H151" s="489">
        <f t="shared" si="36"/>
        <v>0</v>
      </c>
      <c r="I151" s="543">
        <f t="shared" si="37"/>
        <v>0</v>
      </c>
      <c r="J151" s="479">
        <f t="shared" si="40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3"/>
        <v>0</v>
      </c>
    </row>
    <row r="152" spans="2:16" ht="12.5">
      <c r="B152" s="160" t="str">
        <f t="shared" si="25"/>
        <v/>
      </c>
      <c r="C152" s="473">
        <f>IF(D93="","-",+C151+1)</f>
        <v>2060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8"/>
        <v>0</v>
      </c>
      <c r="G152" s="486">
        <f t="shared" si="39"/>
        <v>0</v>
      </c>
      <c r="H152" s="489">
        <f t="shared" si="36"/>
        <v>0</v>
      </c>
      <c r="I152" s="543">
        <f t="shared" si="37"/>
        <v>0</v>
      </c>
      <c r="J152" s="479">
        <f t="shared" si="40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3"/>
        <v>0</v>
      </c>
    </row>
    <row r="153" spans="2:16" ht="12.5">
      <c r="B153" s="160" t="str">
        <f t="shared" si="25"/>
        <v/>
      </c>
      <c r="C153" s="473">
        <f>IF(D93="","-",+C152+1)</f>
        <v>2061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8"/>
        <v>0</v>
      </c>
      <c r="G153" s="486">
        <f t="shared" si="39"/>
        <v>0</v>
      </c>
      <c r="H153" s="489">
        <f t="shared" si="36"/>
        <v>0</v>
      </c>
      <c r="I153" s="543">
        <f t="shared" si="37"/>
        <v>0</v>
      </c>
      <c r="J153" s="479">
        <f t="shared" si="40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3"/>
        <v>0</v>
      </c>
    </row>
    <row r="154" spans="2:16" ht="13" thickBot="1">
      <c r="B154" s="160" t="str">
        <f t="shared" si="25"/>
        <v/>
      </c>
      <c r="C154" s="490">
        <f>IF(D93="","-",+C153+1)</f>
        <v>2062</v>
      </c>
      <c r="D154" s="544">
        <f>IF(F153+SUM(E$99:E153)=D$92,F153,D$92-SUM(E$99:E153))</f>
        <v>0</v>
      </c>
      <c r="E154" s="545">
        <f>IF(+J96&lt;F153,J96,D154)</f>
        <v>0</v>
      </c>
      <c r="F154" s="491">
        <f>+D154-E154</f>
        <v>0</v>
      </c>
      <c r="G154" s="491">
        <f>+(F154+D154)/2</f>
        <v>0</v>
      </c>
      <c r="H154" s="493">
        <f t="shared" si="36"/>
        <v>0</v>
      </c>
      <c r="I154" s="546">
        <f t="shared" si="37"/>
        <v>0</v>
      </c>
      <c r="J154" s="496">
        <f t="shared" si="40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84424</v>
      </c>
      <c r="F155" s="348"/>
      <c r="G155" s="348"/>
      <c r="H155" s="348">
        <f>SUM(H99:H154)</f>
        <v>309445.41689902503</v>
      </c>
      <c r="I155" s="348">
        <f>SUM(I99:I154)</f>
        <v>309445.41689902503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8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6059.9903761062678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6059.9903761062678</v>
      </c>
      <c r="O6" s="233"/>
      <c r="P6" s="233"/>
    </row>
    <row r="7" spans="1:16" ht="13.5" thickBot="1">
      <c r="C7" s="432" t="s">
        <v>46</v>
      </c>
      <c r="D7" s="433" t="s">
        <v>215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87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56133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2006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3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1247.4000000000001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2006</v>
      </c>
      <c r="D17" s="474">
        <v>56133</v>
      </c>
      <c r="E17" s="475">
        <v>752</v>
      </c>
      <c r="F17" s="474">
        <v>55381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2007</v>
      </c>
      <c r="D18" s="480">
        <v>55381</v>
      </c>
      <c r="E18" s="481">
        <v>1002</v>
      </c>
      <c r="F18" s="480">
        <v>54379</v>
      </c>
      <c r="G18" s="481">
        <v>0</v>
      </c>
      <c r="H18" s="482">
        <v>0</v>
      </c>
      <c r="I18" s="476">
        <f t="shared" si="0"/>
        <v>0</v>
      </c>
      <c r="J18" s="476"/>
      <c r="K18" s="477">
        <v>0</v>
      </c>
      <c r="L18" s="479">
        <f t="shared" si="1"/>
        <v>0</v>
      </c>
      <c r="M18" s="477">
        <v>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2008</v>
      </c>
      <c r="D19" s="480">
        <v>54379</v>
      </c>
      <c r="E19" s="481">
        <v>1002</v>
      </c>
      <c r="F19" s="480">
        <v>53377</v>
      </c>
      <c r="G19" s="481">
        <v>0</v>
      </c>
      <c r="H19" s="482">
        <v>0</v>
      </c>
      <c r="I19" s="476">
        <f t="shared" si="0"/>
        <v>0</v>
      </c>
      <c r="J19" s="476"/>
      <c r="K19" s="477">
        <v>0</v>
      </c>
      <c r="L19" s="479">
        <f t="shared" si="1"/>
        <v>0</v>
      </c>
      <c r="M19" s="477">
        <v>0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2009</v>
      </c>
      <c r="D20" s="480">
        <v>53377</v>
      </c>
      <c r="E20" s="481">
        <v>1002</v>
      </c>
      <c r="F20" s="480">
        <v>52375</v>
      </c>
      <c r="G20" s="481">
        <v>0</v>
      </c>
      <c r="H20" s="482">
        <v>0</v>
      </c>
      <c r="I20" s="476">
        <f t="shared" si="0"/>
        <v>0</v>
      </c>
      <c r="J20" s="476"/>
      <c r="K20" s="477">
        <v>0</v>
      </c>
      <c r="L20" s="479">
        <f t="shared" si="1"/>
        <v>0</v>
      </c>
      <c r="M20" s="477">
        <v>0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4"/>
        <v/>
      </c>
      <c r="C21" s="473">
        <f>IF(D11="","-",+C20+1)</f>
        <v>2010</v>
      </c>
      <c r="D21" s="480">
        <v>52375</v>
      </c>
      <c r="E21" s="481">
        <v>1002.375</v>
      </c>
      <c r="F21" s="480">
        <v>51372.625</v>
      </c>
      <c r="G21" s="481">
        <v>8415.2657154769768</v>
      </c>
      <c r="H21" s="482">
        <v>8415.2657154769768</v>
      </c>
      <c r="I21" s="476">
        <f t="shared" si="0"/>
        <v>0</v>
      </c>
      <c r="J21" s="476"/>
      <c r="K21" s="477">
        <f t="shared" ref="K21:K26" si="5">G21</f>
        <v>8415.2657154769768</v>
      </c>
      <c r="L21" s="551">
        <f t="shared" si="1"/>
        <v>0</v>
      </c>
      <c r="M21" s="477">
        <f t="shared" ref="M21:M26" si="6">H21</f>
        <v>8415.2657154769768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4"/>
        <v/>
      </c>
      <c r="C22" s="473">
        <f>IF(D11="","-",+C21+1)</f>
        <v>2011</v>
      </c>
      <c r="D22" s="480">
        <v>51372.625</v>
      </c>
      <c r="E22" s="481">
        <v>1100.6470588235295</v>
      </c>
      <c r="F22" s="480">
        <v>50271.977941176468</v>
      </c>
      <c r="G22" s="481">
        <v>8970.3904929935452</v>
      </c>
      <c r="H22" s="482">
        <v>8970.3904929935452</v>
      </c>
      <c r="I22" s="476">
        <f t="shared" si="0"/>
        <v>0</v>
      </c>
      <c r="J22" s="476"/>
      <c r="K22" s="477">
        <f t="shared" si="5"/>
        <v>8970.3904929935452</v>
      </c>
      <c r="L22" s="551">
        <f t="shared" si="1"/>
        <v>0</v>
      </c>
      <c r="M22" s="477">
        <f t="shared" si="6"/>
        <v>8970.3904929935452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4"/>
        <v/>
      </c>
      <c r="C23" s="473">
        <f>IF(D11="","-",+C22+1)</f>
        <v>2012</v>
      </c>
      <c r="D23" s="480">
        <v>50271.977941176468</v>
      </c>
      <c r="E23" s="481">
        <v>1079.4807692307693</v>
      </c>
      <c r="F23" s="480">
        <v>49192.497171945703</v>
      </c>
      <c r="G23" s="481">
        <v>7927.4076335998161</v>
      </c>
      <c r="H23" s="482">
        <v>7927.4076335998161</v>
      </c>
      <c r="I23" s="476">
        <f t="shared" si="0"/>
        <v>0</v>
      </c>
      <c r="J23" s="476"/>
      <c r="K23" s="477">
        <f t="shared" si="5"/>
        <v>7927.4076335998161</v>
      </c>
      <c r="L23" s="551">
        <f t="shared" si="1"/>
        <v>0</v>
      </c>
      <c r="M23" s="477">
        <f t="shared" si="6"/>
        <v>7927.4076335998161</v>
      </c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4"/>
        <v/>
      </c>
      <c r="C24" s="473">
        <f>IF(D11="","-",+C23+1)</f>
        <v>2013</v>
      </c>
      <c r="D24" s="480">
        <v>49192.497171945703</v>
      </c>
      <c r="E24" s="481">
        <v>1079.4807692307693</v>
      </c>
      <c r="F24" s="480">
        <v>48113.016402714937</v>
      </c>
      <c r="G24" s="481">
        <v>7950.3447729090094</v>
      </c>
      <c r="H24" s="482">
        <v>7950.3447729090094</v>
      </c>
      <c r="I24" s="476">
        <v>0</v>
      </c>
      <c r="J24" s="476"/>
      <c r="K24" s="477">
        <f t="shared" si="5"/>
        <v>7950.3447729090094</v>
      </c>
      <c r="L24" s="551">
        <f t="shared" ref="L24:L29" si="7">IF(K24&lt;&gt;0,+G24-K24,0)</f>
        <v>0</v>
      </c>
      <c r="M24" s="477">
        <f t="shared" si="6"/>
        <v>7950.3447729090094</v>
      </c>
      <c r="N24" s="479">
        <f t="shared" ref="N24:N29" si="8">IF(M24&lt;&gt;0,+H24-M24,0)</f>
        <v>0</v>
      </c>
      <c r="O24" s="479">
        <f t="shared" ref="O24:O29" si="9">+N24-L24</f>
        <v>0</v>
      </c>
      <c r="P24" s="243"/>
    </row>
    <row r="25" spans="2:16" ht="12.5">
      <c r="B25" s="160" t="str">
        <f t="shared" si="4"/>
        <v/>
      </c>
      <c r="C25" s="473">
        <f>IF(D11="","-",+C24+1)</f>
        <v>2014</v>
      </c>
      <c r="D25" s="480">
        <v>48113.016402714937</v>
      </c>
      <c r="E25" s="481">
        <v>1079.4807692307693</v>
      </c>
      <c r="F25" s="480">
        <v>47033.535633484171</v>
      </c>
      <c r="G25" s="481">
        <v>7554.0593246775043</v>
      </c>
      <c r="H25" s="482">
        <v>7554.0593246775043</v>
      </c>
      <c r="I25" s="476">
        <v>0</v>
      </c>
      <c r="J25" s="476"/>
      <c r="K25" s="477">
        <f t="shared" si="5"/>
        <v>7554.0593246775043</v>
      </c>
      <c r="L25" s="551">
        <f t="shared" si="7"/>
        <v>0</v>
      </c>
      <c r="M25" s="477">
        <f t="shared" si="6"/>
        <v>7554.0593246775043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4"/>
        <v/>
      </c>
      <c r="C26" s="473">
        <f>IF(D11="","-",+C25+1)</f>
        <v>2015</v>
      </c>
      <c r="D26" s="480">
        <v>47033.535633484171</v>
      </c>
      <c r="E26" s="481">
        <v>1079.4807692307693</v>
      </c>
      <c r="F26" s="480">
        <v>45954.054864253405</v>
      </c>
      <c r="G26" s="481">
        <v>7415.24244849963</v>
      </c>
      <c r="H26" s="482">
        <v>7415.24244849963</v>
      </c>
      <c r="I26" s="476">
        <v>0</v>
      </c>
      <c r="J26" s="476"/>
      <c r="K26" s="477">
        <f t="shared" si="5"/>
        <v>7415.24244849963</v>
      </c>
      <c r="L26" s="551">
        <f t="shared" si="7"/>
        <v>0</v>
      </c>
      <c r="M26" s="477">
        <f t="shared" si="6"/>
        <v>7415.24244849963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4"/>
        <v/>
      </c>
      <c r="C27" s="473">
        <f>IF(D11="","-",+C26+1)</f>
        <v>2016</v>
      </c>
      <c r="D27" s="480">
        <v>45954.054864253405</v>
      </c>
      <c r="E27" s="481">
        <v>1079.4807692307693</v>
      </c>
      <c r="F27" s="480">
        <v>44874.574095022639</v>
      </c>
      <c r="G27" s="481">
        <v>6965.2134846377958</v>
      </c>
      <c r="H27" s="482">
        <v>6965.2134846377958</v>
      </c>
      <c r="I27" s="476">
        <f t="shared" si="0"/>
        <v>0</v>
      </c>
      <c r="J27" s="476"/>
      <c r="K27" s="477">
        <f>G27</f>
        <v>6965.2134846377958</v>
      </c>
      <c r="L27" s="551">
        <f t="shared" si="7"/>
        <v>0</v>
      </c>
      <c r="M27" s="477">
        <f>H27</f>
        <v>6965.2134846377958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4"/>
        <v/>
      </c>
      <c r="C28" s="473">
        <f>IF(D11="","-",+C27+1)</f>
        <v>2017</v>
      </c>
      <c r="D28" s="480">
        <v>44874.574095022639</v>
      </c>
      <c r="E28" s="481">
        <v>1220.2826086956522</v>
      </c>
      <c r="F28" s="480">
        <v>43654.291486326983</v>
      </c>
      <c r="G28" s="481">
        <v>6775.7563240948048</v>
      </c>
      <c r="H28" s="482">
        <v>6775.7563240948048</v>
      </c>
      <c r="I28" s="476">
        <f t="shared" si="0"/>
        <v>0</v>
      </c>
      <c r="J28" s="476"/>
      <c r="K28" s="477">
        <f>G28</f>
        <v>6775.7563240948048</v>
      </c>
      <c r="L28" s="551">
        <f t="shared" si="7"/>
        <v>0</v>
      </c>
      <c r="M28" s="477">
        <f>H28</f>
        <v>6775.7563240948048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4"/>
        <v/>
      </c>
      <c r="C29" s="473">
        <f>IF(D11="","-",+C28+1)</f>
        <v>2018</v>
      </c>
      <c r="D29" s="480">
        <v>43654.291486326983</v>
      </c>
      <c r="E29" s="481">
        <v>1247.4000000000001</v>
      </c>
      <c r="F29" s="480">
        <v>42406.891486326982</v>
      </c>
      <c r="G29" s="481">
        <v>6400.6980544313355</v>
      </c>
      <c r="H29" s="482">
        <v>6400.6980544313355</v>
      </c>
      <c r="I29" s="476">
        <f t="shared" si="0"/>
        <v>0</v>
      </c>
      <c r="J29" s="476"/>
      <c r="K29" s="477">
        <f>G29</f>
        <v>6400.6980544313355</v>
      </c>
      <c r="L29" s="551">
        <f t="shared" si="7"/>
        <v>0</v>
      </c>
      <c r="M29" s="477">
        <f>H29</f>
        <v>6400.6980544313355</v>
      </c>
      <c r="N29" s="479">
        <f t="shared" si="8"/>
        <v>0</v>
      </c>
      <c r="O29" s="479">
        <f t="shared" si="9"/>
        <v>0</v>
      </c>
      <c r="P29" s="243"/>
    </row>
    <row r="30" spans="2:16" ht="12.5">
      <c r="B30" s="160" t="str">
        <f t="shared" si="4"/>
        <v/>
      </c>
      <c r="C30" s="473">
        <f>IF(D11="","-",+C29+1)</f>
        <v>2019</v>
      </c>
      <c r="D30" s="480">
        <v>42406.891486326982</v>
      </c>
      <c r="E30" s="481">
        <v>1403.325</v>
      </c>
      <c r="F30" s="480">
        <v>41003.566486326985</v>
      </c>
      <c r="G30" s="481">
        <v>6059.9903761062678</v>
      </c>
      <c r="H30" s="482">
        <v>6059.9903761062678</v>
      </c>
      <c r="I30" s="476">
        <f t="shared" si="0"/>
        <v>0</v>
      </c>
      <c r="J30" s="476"/>
      <c r="K30" s="477">
        <f>G30</f>
        <v>6059.9903761062678</v>
      </c>
      <c r="L30" s="551">
        <f t="shared" ref="L30" si="10">IF(K30&lt;&gt;0,+G30-K30,0)</f>
        <v>0</v>
      </c>
      <c r="M30" s="477">
        <f>H30</f>
        <v>6059.9903761062678</v>
      </c>
      <c r="N30" s="479">
        <f t="shared" ref="N30" si="11">IF(M30&lt;&gt;0,+H30-M30,0)</f>
        <v>0</v>
      </c>
      <c r="O30" s="479">
        <f t="shared" ref="O30" si="12">+N30-L30</f>
        <v>0</v>
      </c>
      <c r="P30" s="243"/>
    </row>
    <row r="31" spans="2:16" ht="12.5">
      <c r="B31" s="160" t="str">
        <f t="shared" si="4"/>
        <v/>
      </c>
      <c r="C31" s="473">
        <f>IF(D11="","-",+C30+1)</f>
        <v>2020</v>
      </c>
      <c r="D31" s="486">
        <f>IF(F30+SUM(E$17:E30)=D$10,F30,D$10-SUM(E$17:E30))</f>
        <v>41003.566486326985</v>
      </c>
      <c r="E31" s="485">
        <f>IF(+I14&lt;F30,I14,D31)</f>
        <v>1247.4000000000001</v>
      </c>
      <c r="F31" s="486">
        <f t="shared" ref="F31:F48" si="13">+D31-E31</f>
        <v>39756.166486326983</v>
      </c>
      <c r="G31" s="487">
        <f t="shared" ref="G31:G72" si="14">+I$12*F31+E31</f>
        <v>6627.8170967275801</v>
      </c>
      <c r="H31" s="456">
        <f t="shared" ref="H31:H72" si="15">+I$13*F31+E31</f>
        <v>6627.8170967275801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4"/>
        <v/>
      </c>
      <c r="C32" s="473">
        <f>IF(D11="","-",+C31+1)</f>
        <v>2021</v>
      </c>
      <c r="D32" s="486">
        <f>IF(F31+SUM(E$17:E31)=D$10,F31,D$10-SUM(E$17:E31))</f>
        <v>39756.166486326983</v>
      </c>
      <c r="E32" s="485">
        <f>IF(+I14&lt;F31,I14,D32)</f>
        <v>1247.4000000000001</v>
      </c>
      <c r="F32" s="486">
        <f t="shared" si="13"/>
        <v>38508.766486326982</v>
      </c>
      <c r="G32" s="487">
        <f t="shared" si="14"/>
        <v>6458.9997061281556</v>
      </c>
      <c r="H32" s="456">
        <f t="shared" si="15"/>
        <v>6458.9997061281556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4"/>
        <v/>
      </c>
      <c r="C33" s="473">
        <f>IF(D11="","-",+C32+1)</f>
        <v>2022</v>
      </c>
      <c r="D33" s="486">
        <f>IF(F32+SUM(E$17:E32)=D$10,F32,D$10-SUM(E$17:E32))</f>
        <v>38508.766486326982</v>
      </c>
      <c r="E33" s="485">
        <f>IF(+I14&lt;F32,I14,D33)</f>
        <v>1247.4000000000001</v>
      </c>
      <c r="F33" s="486">
        <f t="shared" si="13"/>
        <v>37261.366486326981</v>
      </c>
      <c r="G33" s="487">
        <f t="shared" si="14"/>
        <v>6290.1823155287311</v>
      </c>
      <c r="H33" s="456">
        <f t="shared" si="15"/>
        <v>6290.1823155287311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4"/>
        <v/>
      </c>
      <c r="C34" s="473">
        <f>IF(D11="","-",+C33+1)</f>
        <v>2023</v>
      </c>
      <c r="D34" s="486">
        <f>IF(F33+SUM(E$17:E33)=D$10,F33,D$10-SUM(E$17:E33))</f>
        <v>37261.366486326981</v>
      </c>
      <c r="E34" s="485">
        <f>IF(+I14&lt;F33,I14,D34)</f>
        <v>1247.4000000000001</v>
      </c>
      <c r="F34" s="486">
        <f t="shared" si="13"/>
        <v>36013.966486326979</v>
      </c>
      <c r="G34" s="487">
        <f t="shared" si="14"/>
        <v>6121.3649249293085</v>
      </c>
      <c r="H34" s="456">
        <f t="shared" si="15"/>
        <v>6121.3649249293085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4"/>
        <v/>
      </c>
      <c r="C35" s="473">
        <f>IF(D11="","-",+C34+1)</f>
        <v>2024</v>
      </c>
      <c r="D35" s="486">
        <f>IF(F34+SUM(E$17:E34)=D$10,F34,D$10-SUM(E$17:E34))</f>
        <v>36013.966486326979</v>
      </c>
      <c r="E35" s="485">
        <f>IF(+I14&lt;F34,I14,D35)</f>
        <v>1247.4000000000001</v>
      </c>
      <c r="F35" s="486">
        <f t="shared" si="13"/>
        <v>34766.566486326978</v>
      </c>
      <c r="G35" s="487">
        <f t="shared" si="14"/>
        <v>5952.547534329884</v>
      </c>
      <c r="H35" s="456">
        <f t="shared" si="15"/>
        <v>5952.547534329884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4"/>
        <v/>
      </c>
      <c r="C36" s="473">
        <f>IF(D11="","-",+C35+1)</f>
        <v>2025</v>
      </c>
      <c r="D36" s="486">
        <f>IF(F35+SUM(E$17:E35)=D$10,F35,D$10-SUM(E$17:E35))</f>
        <v>34766.566486326978</v>
      </c>
      <c r="E36" s="485">
        <f>IF(+I14&lt;F35,I14,D36)</f>
        <v>1247.4000000000001</v>
      </c>
      <c r="F36" s="486">
        <f t="shared" si="13"/>
        <v>33519.166486326976</v>
      </c>
      <c r="G36" s="487">
        <f t="shared" si="14"/>
        <v>5783.7301437304595</v>
      </c>
      <c r="H36" s="456">
        <f t="shared" si="15"/>
        <v>5783.7301437304595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4"/>
        <v/>
      </c>
      <c r="C37" s="473">
        <f>IF(D11="","-",+C36+1)</f>
        <v>2026</v>
      </c>
      <c r="D37" s="486">
        <f>IF(F36+SUM(E$17:E36)=D$10,F36,D$10-SUM(E$17:E36))</f>
        <v>33519.166486326976</v>
      </c>
      <c r="E37" s="485">
        <f>IF(+I14&lt;F36,I14,D37)</f>
        <v>1247.4000000000001</v>
      </c>
      <c r="F37" s="486">
        <f t="shared" si="13"/>
        <v>32271.766486326975</v>
      </c>
      <c r="G37" s="487">
        <f t="shared" si="14"/>
        <v>5614.9127531310369</v>
      </c>
      <c r="H37" s="456">
        <f t="shared" si="15"/>
        <v>5614.9127531310369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566" t="str">
        <f t="shared" si="4"/>
        <v/>
      </c>
      <c r="C38" s="473">
        <f>IF(D11="","-",+C37+1)</f>
        <v>2027</v>
      </c>
      <c r="D38" s="486">
        <f>IF(F37+SUM(E$17:E37)=D$10,F37,D$10-SUM(E$17:E37))</f>
        <v>32271.766486326975</v>
      </c>
      <c r="E38" s="485">
        <f>IF(+I14&lt;F37,I14,D38)</f>
        <v>1247.4000000000001</v>
      </c>
      <c r="F38" s="486">
        <f t="shared" si="13"/>
        <v>31024.366486326973</v>
      </c>
      <c r="G38" s="487">
        <f t="shared" si="14"/>
        <v>5446.0953625316124</v>
      </c>
      <c r="H38" s="456">
        <f t="shared" si="15"/>
        <v>5446.0953625316124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4"/>
        <v/>
      </c>
      <c r="C39" s="473">
        <f>IF(D11="","-",+C38+1)</f>
        <v>2028</v>
      </c>
      <c r="D39" s="486">
        <f>IF(F38+SUM(E$17:E38)=D$10,F38,D$10-SUM(E$17:E38))</f>
        <v>31024.366486326973</v>
      </c>
      <c r="E39" s="485">
        <f>IF(+I14&lt;F38,I14,D39)</f>
        <v>1247.4000000000001</v>
      </c>
      <c r="F39" s="486">
        <f t="shared" si="13"/>
        <v>29776.966486326972</v>
      </c>
      <c r="G39" s="487">
        <f t="shared" si="14"/>
        <v>5277.2779719321879</v>
      </c>
      <c r="H39" s="456">
        <f t="shared" si="15"/>
        <v>5277.2779719321879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4"/>
        <v/>
      </c>
      <c r="C40" s="473">
        <f>IF(D11="","-",+C39+1)</f>
        <v>2029</v>
      </c>
      <c r="D40" s="486">
        <f>IF(F39+SUM(E$17:E39)=D$10,F39,D$10-SUM(E$17:E39))</f>
        <v>29776.966486326972</v>
      </c>
      <c r="E40" s="485">
        <f>IF(+I14&lt;F39,I14,D40)</f>
        <v>1247.4000000000001</v>
      </c>
      <c r="F40" s="486">
        <f t="shared" si="13"/>
        <v>28529.56648632697</v>
      </c>
      <c r="G40" s="487">
        <f t="shared" si="14"/>
        <v>5108.4605813327644</v>
      </c>
      <c r="H40" s="456">
        <f t="shared" si="15"/>
        <v>5108.4605813327644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4"/>
        <v/>
      </c>
      <c r="C41" s="473">
        <f>IF(D11="","-",+C40+1)</f>
        <v>2030</v>
      </c>
      <c r="D41" s="486">
        <f>IF(F40+SUM(E$17:E40)=D$10,F40,D$10-SUM(E$17:E40))</f>
        <v>28529.56648632697</v>
      </c>
      <c r="E41" s="485">
        <f>IF(+I14&lt;F40,I14,D41)</f>
        <v>1247.4000000000001</v>
      </c>
      <c r="F41" s="486">
        <f t="shared" si="13"/>
        <v>27282.166486326969</v>
      </c>
      <c r="G41" s="487">
        <f t="shared" si="14"/>
        <v>4939.6431907333408</v>
      </c>
      <c r="H41" s="456">
        <f t="shared" si="15"/>
        <v>4939.6431907333408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4"/>
        <v/>
      </c>
      <c r="C42" s="473">
        <f>IF(D11="","-",+C41+1)</f>
        <v>2031</v>
      </c>
      <c r="D42" s="486">
        <f>IF(F41+SUM(E$17:E41)=D$10,F41,D$10-SUM(E$17:E41))</f>
        <v>27282.166486326969</v>
      </c>
      <c r="E42" s="485">
        <f>IF(+I14&lt;F41,I14,D42)</f>
        <v>1247.4000000000001</v>
      </c>
      <c r="F42" s="486">
        <f t="shared" si="13"/>
        <v>26034.766486326967</v>
      </c>
      <c r="G42" s="487">
        <f t="shared" si="14"/>
        <v>4770.8258001339163</v>
      </c>
      <c r="H42" s="456">
        <f t="shared" si="15"/>
        <v>4770.8258001339163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4"/>
        <v/>
      </c>
      <c r="C43" s="473">
        <f>IF(D11="","-",+C42+1)</f>
        <v>2032</v>
      </c>
      <c r="D43" s="486">
        <f>IF(F42+SUM(E$17:E42)=D$10,F42,D$10-SUM(E$17:E42))</f>
        <v>26034.766486326967</v>
      </c>
      <c r="E43" s="485">
        <f>IF(+I14&lt;F42,I14,D43)</f>
        <v>1247.4000000000001</v>
      </c>
      <c r="F43" s="486">
        <f t="shared" si="13"/>
        <v>24787.366486326966</v>
      </c>
      <c r="G43" s="487">
        <f t="shared" si="14"/>
        <v>4602.0084095344919</v>
      </c>
      <c r="H43" s="456">
        <f t="shared" si="15"/>
        <v>4602.0084095344919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4"/>
        <v/>
      </c>
      <c r="C44" s="473">
        <f>IF(D11="","-",+C43+1)</f>
        <v>2033</v>
      </c>
      <c r="D44" s="486">
        <f>IF(F43+SUM(E$17:E43)=D$10,F43,D$10-SUM(E$17:E43))</f>
        <v>24787.366486326966</v>
      </c>
      <c r="E44" s="485">
        <f>IF(+I14&lt;F43,I14,D44)</f>
        <v>1247.4000000000001</v>
      </c>
      <c r="F44" s="486">
        <f t="shared" si="13"/>
        <v>23539.966486326965</v>
      </c>
      <c r="G44" s="487">
        <f t="shared" si="14"/>
        <v>4433.1910189350683</v>
      </c>
      <c r="H44" s="456">
        <f t="shared" si="15"/>
        <v>4433.1910189350683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4"/>
        <v/>
      </c>
      <c r="C45" s="473">
        <f>IF(D11="","-",+C44+1)</f>
        <v>2034</v>
      </c>
      <c r="D45" s="486">
        <f>IF(F44+SUM(E$17:E44)=D$10,F44,D$10-SUM(E$17:E44))</f>
        <v>23539.966486326965</v>
      </c>
      <c r="E45" s="485">
        <f>IF(+I14&lt;F44,I14,D45)</f>
        <v>1247.4000000000001</v>
      </c>
      <c r="F45" s="486">
        <f t="shared" si="13"/>
        <v>22292.566486326963</v>
      </c>
      <c r="G45" s="487">
        <f t="shared" si="14"/>
        <v>4264.3736283356448</v>
      </c>
      <c r="H45" s="456">
        <f t="shared" si="15"/>
        <v>4264.3736283356448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4"/>
        <v/>
      </c>
      <c r="C46" s="473">
        <f>IF(D11="","-",+C45+1)</f>
        <v>2035</v>
      </c>
      <c r="D46" s="486">
        <f>IF(F45+SUM(E$17:E45)=D$10,F45,D$10-SUM(E$17:E45))</f>
        <v>22292.566486326963</v>
      </c>
      <c r="E46" s="485">
        <f>IF(+I14&lt;F45,I14,D46)</f>
        <v>1247.4000000000001</v>
      </c>
      <c r="F46" s="486">
        <f t="shared" si="13"/>
        <v>21045.166486326962</v>
      </c>
      <c r="G46" s="487">
        <f t="shared" si="14"/>
        <v>4095.5562377362203</v>
      </c>
      <c r="H46" s="456">
        <f t="shared" si="15"/>
        <v>4095.5562377362203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4"/>
        <v/>
      </c>
      <c r="C47" s="473">
        <f>IF(D11="","-",+C46+1)</f>
        <v>2036</v>
      </c>
      <c r="D47" s="486">
        <f>IF(F46+SUM(E$17:E46)=D$10,F46,D$10-SUM(E$17:E46))</f>
        <v>21045.166486326962</v>
      </c>
      <c r="E47" s="485">
        <f>IF(+I14&lt;F46,I14,D47)</f>
        <v>1247.4000000000001</v>
      </c>
      <c r="F47" s="486">
        <f t="shared" si="13"/>
        <v>19797.76648632696</v>
      </c>
      <c r="G47" s="487">
        <f t="shared" si="14"/>
        <v>3926.7388471367967</v>
      </c>
      <c r="H47" s="456">
        <f t="shared" si="15"/>
        <v>3926.7388471367967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4"/>
        <v/>
      </c>
      <c r="C48" s="473">
        <f>IF(D11="","-",+C47+1)</f>
        <v>2037</v>
      </c>
      <c r="D48" s="486">
        <f>IF(F47+SUM(E$17:E47)=D$10,F47,D$10-SUM(E$17:E47))</f>
        <v>19797.76648632696</v>
      </c>
      <c r="E48" s="485">
        <f>IF(+I14&lt;F47,I14,D48)</f>
        <v>1247.4000000000001</v>
      </c>
      <c r="F48" s="486">
        <f t="shared" si="13"/>
        <v>18550.366486326959</v>
      </c>
      <c r="G48" s="487">
        <f t="shared" si="14"/>
        <v>3757.9214565373727</v>
      </c>
      <c r="H48" s="456">
        <f t="shared" si="15"/>
        <v>3757.9214565373727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4"/>
        <v/>
      </c>
      <c r="C49" s="473">
        <f>IF(D11="","-",+C48+1)</f>
        <v>2038</v>
      </c>
      <c r="D49" s="486">
        <f>IF(F48+SUM(E$17:E48)=D$10,F48,D$10-SUM(E$17:E48))</f>
        <v>18550.366486326959</v>
      </c>
      <c r="E49" s="485">
        <f>IF(+I14&lt;F48,I14,D49)</f>
        <v>1247.4000000000001</v>
      </c>
      <c r="F49" s="486">
        <f t="shared" ref="F49:F72" si="16">+D49-E49</f>
        <v>17302.966486326957</v>
      </c>
      <c r="G49" s="487">
        <f t="shared" si="14"/>
        <v>3589.1040659379487</v>
      </c>
      <c r="H49" s="456">
        <f t="shared" si="15"/>
        <v>3589.1040659379487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4"/>
        <v/>
      </c>
      <c r="C50" s="473">
        <f>IF(D11="","-",+C49+1)</f>
        <v>2039</v>
      </c>
      <c r="D50" s="486">
        <f>IF(F49+SUM(E$17:E49)=D$10,F49,D$10-SUM(E$17:E49))</f>
        <v>17302.966486326957</v>
      </c>
      <c r="E50" s="485">
        <f>IF(+I14&lt;F49,I14,D50)</f>
        <v>1247.4000000000001</v>
      </c>
      <c r="F50" s="486">
        <f t="shared" si="16"/>
        <v>16055.566486326958</v>
      </c>
      <c r="G50" s="487">
        <f t="shared" si="14"/>
        <v>3420.2866753385247</v>
      </c>
      <c r="H50" s="456">
        <f t="shared" si="15"/>
        <v>3420.2866753385247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4"/>
        <v/>
      </c>
      <c r="C51" s="473">
        <f>IF(D11="","-",+C50+1)</f>
        <v>2040</v>
      </c>
      <c r="D51" s="486">
        <f>IF(F50+SUM(E$17:E50)=D$10,F50,D$10-SUM(E$17:E50))</f>
        <v>16055.566486326958</v>
      </c>
      <c r="E51" s="485">
        <f>IF(+I14&lt;F50,I14,D51)</f>
        <v>1247.4000000000001</v>
      </c>
      <c r="F51" s="486">
        <f t="shared" si="16"/>
        <v>14808.166486326958</v>
      </c>
      <c r="G51" s="487">
        <f t="shared" si="14"/>
        <v>3251.4692847391011</v>
      </c>
      <c r="H51" s="456">
        <f t="shared" si="15"/>
        <v>3251.4692847391011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4"/>
        <v/>
      </c>
      <c r="C52" s="473">
        <f>IF(D11="","-",+C51+1)</f>
        <v>2041</v>
      </c>
      <c r="D52" s="486">
        <f>IF(F51+SUM(E$17:E51)=D$10,F51,D$10-SUM(E$17:E51))</f>
        <v>14808.166486326958</v>
      </c>
      <c r="E52" s="485">
        <f>IF(+I14&lt;F51,I14,D52)</f>
        <v>1247.4000000000001</v>
      </c>
      <c r="F52" s="486">
        <f t="shared" si="16"/>
        <v>13560.766486326958</v>
      </c>
      <c r="G52" s="487">
        <f t="shared" si="14"/>
        <v>3082.6518941396776</v>
      </c>
      <c r="H52" s="456">
        <f t="shared" si="15"/>
        <v>3082.6518941396776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4"/>
        <v/>
      </c>
      <c r="C53" s="473">
        <f>IF(D11="","-",+C52+1)</f>
        <v>2042</v>
      </c>
      <c r="D53" s="486">
        <f>IF(F52+SUM(E$17:E52)=D$10,F52,D$10-SUM(E$17:E52))</f>
        <v>13560.766486326958</v>
      </c>
      <c r="E53" s="485">
        <f>IF(+I14&lt;F52,I14,D53)</f>
        <v>1247.4000000000001</v>
      </c>
      <c r="F53" s="486">
        <f t="shared" si="16"/>
        <v>12313.366486326959</v>
      </c>
      <c r="G53" s="487">
        <f t="shared" si="14"/>
        <v>2913.8345035402535</v>
      </c>
      <c r="H53" s="456">
        <f t="shared" si="15"/>
        <v>2913.8345035402535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4"/>
        <v/>
      </c>
      <c r="C54" s="473">
        <f>IF(D11="","-",+C53+1)</f>
        <v>2043</v>
      </c>
      <c r="D54" s="486">
        <f>IF(F53+SUM(E$17:E53)=D$10,F53,D$10-SUM(E$17:E53))</f>
        <v>12313.366486326959</v>
      </c>
      <c r="E54" s="485">
        <f>IF(+I14&lt;F53,I14,D54)</f>
        <v>1247.4000000000001</v>
      </c>
      <c r="F54" s="486">
        <f t="shared" si="16"/>
        <v>11065.966486326959</v>
      </c>
      <c r="G54" s="487">
        <f t="shared" si="14"/>
        <v>2745.01711294083</v>
      </c>
      <c r="H54" s="456">
        <f t="shared" si="15"/>
        <v>2745.01711294083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4"/>
        <v/>
      </c>
      <c r="C55" s="473">
        <f>IF(D11="","-",+C54+1)</f>
        <v>2044</v>
      </c>
      <c r="D55" s="486">
        <f>IF(F54+SUM(E$17:E54)=D$10,F54,D$10-SUM(E$17:E54))</f>
        <v>11065.966486326959</v>
      </c>
      <c r="E55" s="485">
        <f>IF(+I14&lt;F54,I14,D55)</f>
        <v>1247.4000000000001</v>
      </c>
      <c r="F55" s="486">
        <f t="shared" si="16"/>
        <v>9818.5664863269594</v>
      </c>
      <c r="G55" s="487">
        <f t="shared" si="14"/>
        <v>2576.1997223414064</v>
      </c>
      <c r="H55" s="456">
        <f t="shared" si="15"/>
        <v>2576.1997223414064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4"/>
        <v/>
      </c>
      <c r="C56" s="473">
        <f>IF(D11="","-",+C55+1)</f>
        <v>2045</v>
      </c>
      <c r="D56" s="486">
        <f>IF(F55+SUM(E$17:E55)=D$10,F55,D$10-SUM(E$17:E55))</f>
        <v>9818.5664863269594</v>
      </c>
      <c r="E56" s="485">
        <f>IF(+I14&lt;F55,I14,D56)</f>
        <v>1247.4000000000001</v>
      </c>
      <c r="F56" s="486">
        <f t="shared" si="16"/>
        <v>8571.1664863269598</v>
      </c>
      <c r="G56" s="487">
        <f t="shared" si="14"/>
        <v>2407.3823317419829</v>
      </c>
      <c r="H56" s="456">
        <f t="shared" si="15"/>
        <v>2407.3823317419829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4"/>
        <v/>
      </c>
      <c r="C57" s="473">
        <f>IF(D11="","-",+C56+1)</f>
        <v>2046</v>
      </c>
      <c r="D57" s="486">
        <f>IF(F56+SUM(E$17:E56)=D$10,F56,D$10-SUM(E$17:E56))</f>
        <v>8571.1664863269598</v>
      </c>
      <c r="E57" s="485">
        <f>IF(+I14&lt;F56,I14,D57)</f>
        <v>1247.4000000000001</v>
      </c>
      <c r="F57" s="486">
        <f t="shared" si="16"/>
        <v>7323.7664863269601</v>
      </c>
      <c r="G57" s="487">
        <f t="shared" si="14"/>
        <v>2238.5649411425588</v>
      </c>
      <c r="H57" s="456">
        <f t="shared" si="15"/>
        <v>2238.5649411425588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4"/>
        <v/>
      </c>
      <c r="C58" s="473">
        <f>IF(D11="","-",+C57+1)</f>
        <v>2047</v>
      </c>
      <c r="D58" s="486">
        <f>IF(F57+SUM(E$17:E57)=D$10,F57,D$10-SUM(E$17:E57))</f>
        <v>7323.7664863269601</v>
      </c>
      <c r="E58" s="485">
        <f>IF(+I14&lt;F57,I14,D58)</f>
        <v>1247.4000000000001</v>
      </c>
      <c r="F58" s="486">
        <f t="shared" si="16"/>
        <v>6076.3664863269605</v>
      </c>
      <c r="G58" s="487">
        <f t="shared" si="14"/>
        <v>2069.7475505431353</v>
      </c>
      <c r="H58" s="456">
        <f t="shared" si="15"/>
        <v>2069.7475505431353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4"/>
        <v/>
      </c>
      <c r="C59" s="473">
        <f>IF(D11="","-",+C58+1)</f>
        <v>2048</v>
      </c>
      <c r="D59" s="486">
        <f>IF(F58+SUM(E$17:E58)=D$10,F58,D$10-SUM(E$17:E58))</f>
        <v>6076.3664863269605</v>
      </c>
      <c r="E59" s="485">
        <f>IF(+I14&lt;F58,I14,D59)</f>
        <v>1247.4000000000001</v>
      </c>
      <c r="F59" s="486">
        <f t="shared" si="16"/>
        <v>4828.9664863269609</v>
      </c>
      <c r="G59" s="487">
        <f t="shared" si="14"/>
        <v>1900.9301599437113</v>
      </c>
      <c r="H59" s="456">
        <f t="shared" si="15"/>
        <v>1900.9301599437113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4"/>
        <v/>
      </c>
      <c r="C60" s="473">
        <f>IF(D11="","-",+C59+1)</f>
        <v>2049</v>
      </c>
      <c r="D60" s="486">
        <f>IF(F59+SUM(E$17:E59)=D$10,F59,D$10-SUM(E$17:E59))</f>
        <v>4828.9664863269609</v>
      </c>
      <c r="E60" s="485">
        <f>IF(+I14&lt;F59,I14,D60)</f>
        <v>1247.4000000000001</v>
      </c>
      <c r="F60" s="486">
        <f t="shared" si="16"/>
        <v>3581.5664863269608</v>
      </c>
      <c r="G60" s="487">
        <f t="shared" si="14"/>
        <v>1732.1127693442877</v>
      </c>
      <c r="H60" s="456">
        <f t="shared" si="15"/>
        <v>1732.1127693442877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4"/>
        <v/>
      </c>
      <c r="C61" s="473">
        <f>IF(D11="","-",+C60+1)</f>
        <v>2050</v>
      </c>
      <c r="D61" s="486">
        <f>IF(F60+SUM(E$17:E60)=D$10,F60,D$10-SUM(E$17:E60))</f>
        <v>3581.5664863269608</v>
      </c>
      <c r="E61" s="485">
        <f>IF(+I14&lt;F60,I14,D61)</f>
        <v>1247.4000000000001</v>
      </c>
      <c r="F61" s="486">
        <f t="shared" si="16"/>
        <v>2334.1664863269607</v>
      </c>
      <c r="G61" s="489">
        <f t="shared" si="14"/>
        <v>1563.2953787448639</v>
      </c>
      <c r="H61" s="456">
        <f t="shared" si="15"/>
        <v>1563.2953787448639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4"/>
        <v/>
      </c>
      <c r="C62" s="473">
        <f>IF(D11="","-",+C61+1)</f>
        <v>2051</v>
      </c>
      <c r="D62" s="486">
        <f>IF(F61+SUM(E$17:E61)=D$10,F61,D$10-SUM(E$17:E61))</f>
        <v>2334.1664863269607</v>
      </c>
      <c r="E62" s="485">
        <f>IF(+I14&lt;F61,I14,D62)</f>
        <v>1247.4000000000001</v>
      </c>
      <c r="F62" s="486">
        <f t="shared" si="16"/>
        <v>1086.7664863269606</v>
      </c>
      <c r="G62" s="489">
        <f t="shared" si="14"/>
        <v>1394.4779881454401</v>
      </c>
      <c r="H62" s="456">
        <f t="shared" si="15"/>
        <v>1394.4779881454401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566" t="str">
        <f t="shared" si="4"/>
        <v/>
      </c>
      <c r="C63" s="473">
        <f>IF(D11="","-",+C62+1)</f>
        <v>2052</v>
      </c>
      <c r="D63" s="486">
        <f>IF(F62+SUM(E$17:E62)=D$10,F62,D$10-SUM(E$17:E62))</f>
        <v>1086.7664863269606</v>
      </c>
      <c r="E63" s="485">
        <f>IF(+I14&lt;F62,I14,D63)</f>
        <v>1086.7664863269606</v>
      </c>
      <c r="F63" s="486">
        <f t="shared" si="16"/>
        <v>0</v>
      </c>
      <c r="G63" s="489">
        <f t="shared" si="14"/>
        <v>1086.7664863269606</v>
      </c>
      <c r="H63" s="456">
        <f t="shared" si="15"/>
        <v>1086.7664863269606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4"/>
        <v/>
      </c>
      <c r="C64" s="473">
        <f>IF(D11="","-",+C63+1)</f>
        <v>2053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9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4"/>
        <v/>
      </c>
      <c r="C65" s="473">
        <f>IF(D11="","-",+C64+1)</f>
        <v>2054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4"/>
        <v/>
      </c>
      <c r="C66" s="473">
        <f>IF(D11="","-",+C65+1)</f>
        <v>2055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4"/>
        <v/>
      </c>
      <c r="C67" s="473">
        <f>IF(D11="","-",+C66+1)</f>
        <v>2056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4"/>
        <v/>
      </c>
      <c r="C68" s="473">
        <f>IF(D11="","-",+C67+1)</f>
        <v>2057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4"/>
        <v/>
      </c>
      <c r="C69" s="473">
        <f>IF(D11="","-",+C68+1)</f>
        <v>2058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4"/>
        <v/>
      </c>
      <c r="C70" s="473">
        <f>IF(D11="","-",+C69+1)</f>
        <v>2059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4"/>
        <v/>
      </c>
      <c r="C71" s="473">
        <f>IF(D11="","-",+C70+1)</f>
        <v>2060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2061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14"/>
        <v>0</v>
      </c>
      <c r="H72" s="436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56133.000000000029</v>
      </c>
      <c r="F73" s="348"/>
      <c r="G73" s="348">
        <f>SUM(G17:G72)</f>
        <v>203877.85647172196</v>
      </c>
      <c r="H73" s="348">
        <f>SUM(H17:H72)</f>
        <v>203877.85647172196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8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6059.9903761062678</v>
      </c>
      <c r="N87" s="509">
        <f>IF(J92&lt;D11,0,VLOOKUP(J92,C17:O72,11))</f>
        <v>6059.9903761062678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5708.8115726685282</v>
      </c>
      <c r="N88" s="513">
        <f>IF(J92&lt;D11,0,VLOOKUP(J92,C99:P154,7))</f>
        <v>5708.8115726685282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Weleetka &amp; Okmulgee Wavetrap replacement 81-805*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-351.17880343773959</v>
      </c>
      <c r="N89" s="518">
        <f>+N88-N87</f>
        <v>-351.17880343773959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TP2005046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56133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2006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3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1369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2006</v>
      </c>
      <c r="D99" s="474">
        <v>0</v>
      </c>
      <c r="E99" s="481">
        <v>0</v>
      </c>
      <c r="F99" s="480">
        <v>56133</v>
      </c>
      <c r="G99" s="538">
        <v>28067</v>
      </c>
      <c r="H99" s="539">
        <v>0</v>
      </c>
      <c r="I99" s="540">
        <v>0</v>
      </c>
      <c r="J99" s="479">
        <f t="shared" ref="J99:J130" si="21">+I99-H99</f>
        <v>0</v>
      </c>
      <c r="K99" s="479"/>
      <c r="L99" s="555">
        <v>0</v>
      </c>
      <c r="M99" s="478">
        <f t="shared" ref="M99:M130" si="22">IF(L99&lt;&gt;0,+H99-L99,0)</f>
        <v>0</v>
      </c>
      <c r="N99" s="555">
        <v>0</v>
      </c>
      <c r="O99" s="478">
        <f t="shared" ref="O99:O130" si="23">IF(N99&lt;&gt;0,+I99-N99,0)</f>
        <v>0</v>
      </c>
      <c r="P99" s="478">
        <f t="shared" ref="P99:P130" si="24">+O99-M99</f>
        <v>0</v>
      </c>
    </row>
    <row r="100" spans="1:16" ht="12.5">
      <c r="B100" s="160" t="str">
        <f>IF(D100=F99,"","IU")</f>
        <v/>
      </c>
      <c r="C100" s="473">
        <f>IF(D93="","-",+C99+1)</f>
        <v>2007</v>
      </c>
      <c r="D100" s="474">
        <v>56133</v>
      </c>
      <c r="E100" s="481">
        <v>1059</v>
      </c>
      <c r="F100" s="480">
        <v>55074</v>
      </c>
      <c r="G100" s="480">
        <v>55603</v>
      </c>
      <c r="H100" s="481">
        <v>0</v>
      </c>
      <c r="I100" s="482">
        <v>0</v>
      </c>
      <c r="J100" s="479">
        <f t="shared" si="21"/>
        <v>0</v>
      </c>
      <c r="K100" s="479"/>
      <c r="L100" s="477">
        <v>0</v>
      </c>
      <c r="M100" s="479">
        <f t="shared" si="22"/>
        <v>0</v>
      </c>
      <c r="N100" s="477">
        <v>0</v>
      </c>
      <c r="O100" s="479">
        <f t="shared" si="23"/>
        <v>0</v>
      </c>
      <c r="P100" s="479">
        <f t="shared" si="24"/>
        <v>0</v>
      </c>
    </row>
    <row r="101" spans="1:16" ht="12.5">
      <c r="B101" s="160" t="str">
        <f t="shared" ref="B101:B154" si="25">IF(D101=F100,"","IU")</f>
        <v/>
      </c>
      <c r="C101" s="473">
        <f>IF(D93="","-",+C100+1)</f>
        <v>2008</v>
      </c>
      <c r="D101" s="474">
        <v>55074</v>
      </c>
      <c r="E101" s="481">
        <v>1059</v>
      </c>
      <c r="F101" s="480">
        <v>54015</v>
      </c>
      <c r="G101" s="480">
        <v>54544</v>
      </c>
      <c r="H101" s="481">
        <v>9723</v>
      </c>
      <c r="I101" s="482">
        <v>9723</v>
      </c>
      <c r="J101" s="479">
        <f t="shared" si="21"/>
        <v>0</v>
      </c>
      <c r="K101" s="479"/>
      <c r="L101" s="477">
        <v>9723</v>
      </c>
      <c r="M101" s="479">
        <f t="shared" si="22"/>
        <v>0</v>
      </c>
      <c r="N101" s="477">
        <v>9723</v>
      </c>
      <c r="O101" s="479">
        <f t="shared" si="23"/>
        <v>0</v>
      </c>
      <c r="P101" s="479">
        <f t="shared" si="24"/>
        <v>0</v>
      </c>
    </row>
    <row r="102" spans="1:16" ht="12.5">
      <c r="B102" s="160" t="str">
        <f t="shared" si="25"/>
        <v/>
      </c>
      <c r="C102" s="473">
        <f>IF(D93="","-",+C101+1)</f>
        <v>2009</v>
      </c>
      <c r="D102" s="474">
        <v>54015</v>
      </c>
      <c r="E102" s="481">
        <v>1002</v>
      </c>
      <c r="F102" s="480">
        <v>53013</v>
      </c>
      <c r="G102" s="480">
        <v>53514</v>
      </c>
      <c r="H102" s="481">
        <v>8826.1899911613018</v>
      </c>
      <c r="I102" s="482">
        <v>8826.1899911613018</v>
      </c>
      <c r="J102" s="479">
        <f t="shared" si="21"/>
        <v>0</v>
      </c>
      <c r="K102" s="479"/>
      <c r="L102" s="541">
        <f t="shared" ref="L102:L107" si="26">H102</f>
        <v>8826.1899911613018</v>
      </c>
      <c r="M102" s="542">
        <f t="shared" si="22"/>
        <v>0</v>
      </c>
      <c r="N102" s="541">
        <f t="shared" ref="N102:N107" si="27">I102</f>
        <v>8826.1899911613018</v>
      </c>
      <c r="O102" s="479">
        <f t="shared" si="23"/>
        <v>0</v>
      </c>
      <c r="P102" s="479">
        <f t="shared" si="24"/>
        <v>0</v>
      </c>
    </row>
    <row r="103" spans="1:16" ht="12.5">
      <c r="B103" s="160" t="str">
        <f t="shared" si="25"/>
        <v/>
      </c>
      <c r="C103" s="473">
        <f>IF(D93="","-",+C102+1)</f>
        <v>2010</v>
      </c>
      <c r="D103" s="474">
        <v>53013</v>
      </c>
      <c r="E103" s="481">
        <v>1101</v>
      </c>
      <c r="F103" s="480">
        <v>51912</v>
      </c>
      <c r="G103" s="480">
        <v>52462.5</v>
      </c>
      <c r="H103" s="481">
        <v>9537.7685710444202</v>
      </c>
      <c r="I103" s="482">
        <v>9537.7685710444202</v>
      </c>
      <c r="J103" s="479">
        <f t="shared" si="21"/>
        <v>0</v>
      </c>
      <c r="K103" s="479"/>
      <c r="L103" s="541">
        <f t="shared" si="26"/>
        <v>9537.7685710444202</v>
      </c>
      <c r="M103" s="542">
        <f t="shared" si="22"/>
        <v>0</v>
      </c>
      <c r="N103" s="541">
        <f t="shared" si="27"/>
        <v>9537.7685710444202</v>
      </c>
      <c r="O103" s="479">
        <f t="shared" si="23"/>
        <v>0</v>
      </c>
      <c r="P103" s="479">
        <f t="shared" si="24"/>
        <v>0</v>
      </c>
    </row>
    <row r="104" spans="1:16" ht="12.5">
      <c r="B104" s="160" t="str">
        <f t="shared" si="25"/>
        <v/>
      </c>
      <c r="C104" s="473">
        <f>IF(D93="","-",+C103+1)</f>
        <v>2011</v>
      </c>
      <c r="D104" s="474">
        <v>51912</v>
      </c>
      <c r="E104" s="481">
        <v>1079</v>
      </c>
      <c r="F104" s="480">
        <v>50833</v>
      </c>
      <c r="G104" s="480">
        <v>51372.5</v>
      </c>
      <c r="H104" s="481">
        <v>8261.5658402233203</v>
      </c>
      <c r="I104" s="482">
        <v>8261.5658402233203</v>
      </c>
      <c r="J104" s="479">
        <f t="shared" si="21"/>
        <v>0</v>
      </c>
      <c r="K104" s="479"/>
      <c r="L104" s="541">
        <f t="shared" si="26"/>
        <v>8261.5658402233203</v>
      </c>
      <c r="M104" s="542">
        <f t="shared" si="22"/>
        <v>0</v>
      </c>
      <c r="N104" s="541">
        <f t="shared" si="27"/>
        <v>8261.5658402233203</v>
      </c>
      <c r="O104" s="479">
        <f t="shared" si="23"/>
        <v>0</v>
      </c>
      <c r="P104" s="479">
        <f t="shared" si="24"/>
        <v>0</v>
      </c>
    </row>
    <row r="105" spans="1:16" ht="12.5">
      <c r="B105" s="160" t="str">
        <f t="shared" si="25"/>
        <v/>
      </c>
      <c r="C105" s="473">
        <f>IF(D93="","-",+C104+1)</f>
        <v>2012</v>
      </c>
      <c r="D105" s="474">
        <v>50833</v>
      </c>
      <c r="E105" s="481">
        <v>1079</v>
      </c>
      <c r="F105" s="480">
        <v>49754</v>
      </c>
      <c r="G105" s="480">
        <v>50293.5</v>
      </c>
      <c r="H105" s="481">
        <v>8313.995673781943</v>
      </c>
      <c r="I105" s="482">
        <v>8313.995673781943</v>
      </c>
      <c r="J105" s="479">
        <v>0</v>
      </c>
      <c r="K105" s="479"/>
      <c r="L105" s="541">
        <f t="shared" si="26"/>
        <v>8313.995673781943</v>
      </c>
      <c r="M105" s="542">
        <f t="shared" ref="M105:M110" si="28">IF(L105&lt;&gt;0,+H105-L105,0)</f>
        <v>0</v>
      </c>
      <c r="N105" s="541">
        <f t="shared" si="27"/>
        <v>8313.995673781943</v>
      </c>
      <c r="O105" s="479">
        <f t="shared" ref="O105:O110" si="29">IF(N105&lt;&gt;0,+I105-N105,0)</f>
        <v>0</v>
      </c>
      <c r="P105" s="479">
        <f t="shared" ref="P105:P110" si="30">+O105-M105</f>
        <v>0</v>
      </c>
    </row>
    <row r="106" spans="1:16" ht="12.5">
      <c r="B106" s="160" t="str">
        <f t="shared" si="25"/>
        <v/>
      </c>
      <c r="C106" s="473">
        <f>IF(D93="","-",+C105+1)</f>
        <v>2013</v>
      </c>
      <c r="D106" s="474">
        <v>49754</v>
      </c>
      <c r="E106" s="481">
        <v>1079</v>
      </c>
      <c r="F106" s="480">
        <v>48675</v>
      </c>
      <c r="G106" s="480">
        <v>49214.5</v>
      </c>
      <c r="H106" s="481">
        <v>8162.9151459393179</v>
      </c>
      <c r="I106" s="482">
        <v>8162.9151459393179</v>
      </c>
      <c r="J106" s="479">
        <v>0</v>
      </c>
      <c r="K106" s="479"/>
      <c r="L106" s="541">
        <f t="shared" si="26"/>
        <v>8162.9151459393179</v>
      </c>
      <c r="M106" s="542">
        <f t="shared" si="28"/>
        <v>0</v>
      </c>
      <c r="N106" s="541">
        <f t="shared" si="27"/>
        <v>8162.9151459393179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5"/>
        <v/>
      </c>
      <c r="C107" s="473">
        <f>IF(D93="","-",+C106+1)</f>
        <v>2014</v>
      </c>
      <c r="D107" s="474">
        <v>48675</v>
      </c>
      <c r="E107" s="481">
        <v>1079</v>
      </c>
      <c r="F107" s="480">
        <v>47596</v>
      </c>
      <c r="G107" s="480">
        <v>48135.5</v>
      </c>
      <c r="H107" s="481">
        <v>7846.6545337569178</v>
      </c>
      <c r="I107" s="482">
        <v>7846.6545337569178</v>
      </c>
      <c r="J107" s="479">
        <v>0</v>
      </c>
      <c r="K107" s="479"/>
      <c r="L107" s="541">
        <f t="shared" si="26"/>
        <v>7846.6545337569178</v>
      </c>
      <c r="M107" s="542">
        <f t="shared" si="28"/>
        <v>0</v>
      </c>
      <c r="N107" s="541">
        <f t="shared" si="27"/>
        <v>7846.6545337569178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5"/>
        <v/>
      </c>
      <c r="C108" s="473">
        <f>IF(D93="","-",+C107+1)</f>
        <v>2015</v>
      </c>
      <c r="D108" s="474">
        <v>47596</v>
      </c>
      <c r="E108" s="481">
        <v>1079</v>
      </c>
      <c r="F108" s="480">
        <v>46517</v>
      </c>
      <c r="G108" s="480">
        <v>47056.5</v>
      </c>
      <c r="H108" s="481">
        <v>7499.4810720950254</v>
      </c>
      <c r="I108" s="482">
        <v>7499.4810720950254</v>
      </c>
      <c r="J108" s="479">
        <f t="shared" si="21"/>
        <v>0</v>
      </c>
      <c r="K108" s="479"/>
      <c r="L108" s="541">
        <f>H108</f>
        <v>7499.4810720950254</v>
      </c>
      <c r="M108" s="542">
        <f t="shared" si="28"/>
        <v>0</v>
      </c>
      <c r="N108" s="541">
        <f>I108</f>
        <v>7499.4810720950254</v>
      </c>
      <c r="O108" s="479">
        <f t="shared" si="29"/>
        <v>0</v>
      </c>
      <c r="P108" s="479">
        <f t="shared" si="30"/>
        <v>0</v>
      </c>
    </row>
    <row r="109" spans="1:16" ht="12.5">
      <c r="B109" s="160" t="str">
        <f t="shared" si="25"/>
        <v/>
      </c>
      <c r="C109" s="473">
        <f>IF(D93="","-",+C108+1)</f>
        <v>2016</v>
      </c>
      <c r="D109" s="474">
        <v>46517</v>
      </c>
      <c r="E109" s="481">
        <v>1220</v>
      </c>
      <c r="F109" s="480">
        <v>45297</v>
      </c>
      <c r="G109" s="480">
        <v>45907</v>
      </c>
      <c r="H109" s="481">
        <v>7138.135283574793</v>
      </c>
      <c r="I109" s="482">
        <v>7138.135283574793</v>
      </c>
      <c r="J109" s="479">
        <f t="shared" si="21"/>
        <v>0</v>
      </c>
      <c r="K109" s="479"/>
      <c r="L109" s="541">
        <f>H109</f>
        <v>7138.135283574793</v>
      </c>
      <c r="M109" s="542">
        <f t="shared" si="28"/>
        <v>0</v>
      </c>
      <c r="N109" s="541">
        <f>I109</f>
        <v>7138.135283574793</v>
      </c>
      <c r="O109" s="479">
        <f t="shared" si="29"/>
        <v>0</v>
      </c>
      <c r="P109" s="479">
        <f t="shared" si="30"/>
        <v>0</v>
      </c>
    </row>
    <row r="110" spans="1:16" ht="12.5">
      <c r="B110" s="160" t="str">
        <f t="shared" si="25"/>
        <v/>
      </c>
      <c r="C110" s="473">
        <f>IF(D93="","-",+C109+1)</f>
        <v>2017</v>
      </c>
      <c r="D110" s="474">
        <v>45297</v>
      </c>
      <c r="E110" s="481">
        <v>1220</v>
      </c>
      <c r="F110" s="480">
        <v>44077</v>
      </c>
      <c r="G110" s="480">
        <v>44687</v>
      </c>
      <c r="H110" s="481">
        <v>6888.6586283105316</v>
      </c>
      <c r="I110" s="482">
        <v>6888.6586283105316</v>
      </c>
      <c r="J110" s="479">
        <f t="shared" si="21"/>
        <v>0</v>
      </c>
      <c r="K110" s="479"/>
      <c r="L110" s="541">
        <f>H110</f>
        <v>6888.6586283105316</v>
      </c>
      <c r="M110" s="542">
        <f t="shared" si="28"/>
        <v>0</v>
      </c>
      <c r="N110" s="541">
        <f>I110</f>
        <v>6888.6586283105316</v>
      </c>
      <c r="O110" s="479">
        <f t="shared" si="29"/>
        <v>0</v>
      </c>
      <c r="P110" s="479">
        <f t="shared" si="30"/>
        <v>0</v>
      </c>
    </row>
    <row r="111" spans="1:16" ht="12.5">
      <c r="B111" s="160" t="str">
        <f t="shared" si="25"/>
        <v/>
      </c>
      <c r="C111" s="473">
        <f>IF(D93="","-",+C110+1)</f>
        <v>2018</v>
      </c>
      <c r="D111" s="474">
        <v>44077</v>
      </c>
      <c r="E111" s="481">
        <v>1305</v>
      </c>
      <c r="F111" s="480">
        <v>42772</v>
      </c>
      <c r="G111" s="480">
        <v>43424.5</v>
      </c>
      <c r="H111" s="481">
        <v>5766.2406216754998</v>
      </c>
      <c r="I111" s="482">
        <v>5766.2406216754998</v>
      </c>
      <c r="J111" s="479">
        <f t="shared" si="21"/>
        <v>0</v>
      </c>
      <c r="K111" s="479"/>
      <c r="L111" s="541">
        <f>H111</f>
        <v>5766.2406216754998</v>
      </c>
      <c r="M111" s="542">
        <f t="shared" ref="M111" si="31">IF(L111&lt;&gt;0,+H111-L111,0)</f>
        <v>0</v>
      </c>
      <c r="N111" s="541">
        <f>I111</f>
        <v>5766.2406216754998</v>
      </c>
      <c r="O111" s="479">
        <f t="shared" ref="O111" si="32">IF(N111&lt;&gt;0,+I111-N111,0)</f>
        <v>0</v>
      </c>
      <c r="P111" s="479">
        <f t="shared" ref="P111" si="33">+O111-M111</f>
        <v>0</v>
      </c>
    </row>
    <row r="112" spans="1:16" ht="12.5">
      <c r="B112" s="160" t="str">
        <f t="shared" si="25"/>
        <v/>
      </c>
      <c r="C112" s="473">
        <f>IF(D93="","-",+C111+1)</f>
        <v>2019</v>
      </c>
      <c r="D112" s="347">
        <f>IF(F111+SUM(E$99:E111)=D$92,F111,D$92-SUM(E$99:E111))</f>
        <v>42772</v>
      </c>
      <c r="E112" s="487">
        <f>IF(+J96&lt;F111,J96,D112)</f>
        <v>1369</v>
      </c>
      <c r="F112" s="486">
        <f t="shared" ref="F112:F130" si="34">+D112-E112</f>
        <v>41403</v>
      </c>
      <c r="G112" s="486">
        <f t="shared" ref="G112:G130" si="35">+(F112+D112)/2</f>
        <v>42087.5</v>
      </c>
      <c r="H112" s="489">
        <f t="shared" ref="H112:H154" si="36">+J$94*G112+E112</f>
        <v>5708.8115726685282</v>
      </c>
      <c r="I112" s="543">
        <f t="shared" ref="I112:I154" si="37">+J$95*G112+E112</f>
        <v>5708.8115726685282</v>
      </c>
      <c r="J112" s="479">
        <f t="shared" si="21"/>
        <v>0</v>
      </c>
      <c r="K112" s="479"/>
      <c r="L112" s="488"/>
      <c r="M112" s="479">
        <f t="shared" si="22"/>
        <v>0</v>
      </c>
      <c r="N112" s="488"/>
      <c r="O112" s="479">
        <f t="shared" si="23"/>
        <v>0</v>
      </c>
      <c r="P112" s="479">
        <f t="shared" si="24"/>
        <v>0</v>
      </c>
    </row>
    <row r="113" spans="2:16" ht="12.5">
      <c r="B113" s="160" t="str">
        <f t="shared" si="25"/>
        <v/>
      </c>
      <c r="C113" s="473">
        <f>IF(D93="","-",+C112+1)</f>
        <v>2020</v>
      </c>
      <c r="D113" s="347">
        <f>IF(F112+SUM(E$99:E112)=D$92,F112,D$92-SUM(E$99:E112))</f>
        <v>41403</v>
      </c>
      <c r="E113" s="487">
        <f>IF(+J96&lt;F112,J96,D113)</f>
        <v>1369</v>
      </c>
      <c r="F113" s="486">
        <f t="shared" si="34"/>
        <v>40034</v>
      </c>
      <c r="G113" s="486">
        <f t="shared" si="35"/>
        <v>40718.5</v>
      </c>
      <c r="H113" s="489">
        <f t="shared" si="36"/>
        <v>5567.6484709641454</v>
      </c>
      <c r="I113" s="543">
        <f t="shared" si="37"/>
        <v>5567.6484709641454</v>
      </c>
      <c r="J113" s="479">
        <f t="shared" si="21"/>
        <v>0</v>
      </c>
      <c r="K113" s="479"/>
      <c r="L113" s="488"/>
      <c r="M113" s="479">
        <f t="shared" si="22"/>
        <v>0</v>
      </c>
      <c r="N113" s="488"/>
      <c r="O113" s="479">
        <f t="shared" si="23"/>
        <v>0</v>
      </c>
      <c r="P113" s="479">
        <f t="shared" si="24"/>
        <v>0</v>
      </c>
    </row>
    <row r="114" spans="2:16" ht="12.5">
      <c r="B114" s="160" t="str">
        <f t="shared" si="25"/>
        <v/>
      </c>
      <c r="C114" s="473">
        <f>IF(D93="","-",+C113+1)</f>
        <v>2021</v>
      </c>
      <c r="D114" s="347">
        <f>IF(F113+SUM(E$99:E113)=D$92,F113,D$92-SUM(E$99:E113))</f>
        <v>40034</v>
      </c>
      <c r="E114" s="487">
        <f>IF(+J96&lt;F113,J96,D114)</f>
        <v>1369</v>
      </c>
      <c r="F114" s="486">
        <f t="shared" si="34"/>
        <v>38665</v>
      </c>
      <c r="G114" s="486">
        <f t="shared" si="35"/>
        <v>39349.5</v>
      </c>
      <c r="H114" s="489">
        <f t="shared" si="36"/>
        <v>5426.4853692597626</v>
      </c>
      <c r="I114" s="543">
        <f t="shared" si="37"/>
        <v>5426.4853692597626</v>
      </c>
      <c r="J114" s="479">
        <f t="shared" si="21"/>
        <v>0</v>
      </c>
      <c r="K114" s="479"/>
      <c r="L114" s="488"/>
      <c r="M114" s="479">
        <f t="shared" si="22"/>
        <v>0</v>
      </c>
      <c r="N114" s="488"/>
      <c r="O114" s="479">
        <f t="shared" si="23"/>
        <v>0</v>
      </c>
      <c r="P114" s="479">
        <f t="shared" si="24"/>
        <v>0</v>
      </c>
    </row>
    <row r="115" spans="2:16" ht="12.5">
      <c r="B115" s="160" t="str">
        <f t="shared" si="25"/>
        <v/>
      </c>
      <c r="C115" s="473">
        <f>IF(D93="","-",+C114+1)</f>
        <v>2022</v>
      </c>
      <c r="D115" s="347">
        <f>IF(F114+SUM(E$99:E114)=D$92,F114,D$92-SUM(E$99:E114))</f>
        <v>38665</v>
      </c>
      <c r="E115" s="487">
        <f>IF(+J96&lt;F114,J96,D115)</f>
        <v>1369</v>
      </c>
      <c r="F115" s="486">
        <f t="shared" si="34"/>
        <v>37296</v>
      </c>
      <c r="G115" s="486">
        <f t="shared" si="35"/>
        <v>37980.5</v>
      </c>
      <c r="H115" s="489">
        <f t="shared" si="36"/>
        <v>5285.3222675553798</v>
      </c>
      <c r="I115" s="543">
        <f t="shared" si="37"/>
        <v>5285.3222675553798</v>
      </c>
      <c r="J115" s="479">
        <f t="shared" si="21"/>
        <v>0</v>
      </c>
      <c r="K115" s="479"/>
      <c r="L115" s="488"/>
      <c r="M115" s="479">
        <f t="shared" si="22"/>
        <v>0</v>
      </c>
      <c r="N115" s="488"/>
      <c r="O115" s="479">
        <f t="shared" si="23"/>
        <v>0</v>
      </c>
      <c r="P115" s="479">
        <f t="shared" si="24"/>
        <v>0</v>
      </c>
    </row>
    <row r="116" spans="2:16" ht="12.5">
      <c r="B116" s="160" t="str">
        <f t="shared" si="25"/>
        <v/>
      </c>
      <c r="C116" s="473">
        <f>IF(D93="","-",+C115+1)</f>
        <v>2023</v>
      </c>
      <c r="D116" s="347">
        <f>IF(F115+SUM(E$99:E115)=D$92,F115,D$92-SUM(E$99:E115))</f>
        <v>37296</v>
      </c>
      <c r="E116" s="487">
        <f>IF(+J96&lt;F115,J96,D116)</f>
        <v>1369</v>
      </c>
      <c r="F116" s="486">
        <f t="shared" si="34"/>
        <v>35927</v>
      </c>
      <c r="G116" s="486">
        <f t="shared" si="35"/>
        <v>36611.5</v>
      </c>
      <c r="H116" s="489">
        <f t="shared" si="36"/>
        <v>5144.1591658509969</v>
      </c>
      <c r="I116" s="543">
        <f t="shared" si="37"/>
        <v>5144.1591658509969</v>
      </c>
      <c r="J116" s="479">
        <f t="shared" si="21"/>
        <v>0</v>
      </c>
      <c r="K116" s="479"/>
      <c r="L116" s="488"/>
      <c r="M116" s="479">
        <f t="shared" si="22"/>
        <v>0</v>
      </c>
      <c r="N116" s="488"/>
      <c r="O116" s="479">
        <f t="shared" si="23"/>
        <v>0</v>
      </c>
      <c r="P116" s="479">
        <f t="shared" si="24"/>
        <v>0</v>
      </c>
    </row>
    <row r="117" spans="2:16" ht="12.5">
      <c r="B117" s="160" t="str">
        <f t="shared" si="25"/>
        <v/>
      </c>
      <c r="C117" s="473">
        <f>IF(D93="","-",+C116+1)</f>
        <v>2024</v>
      </c>
      <c r="D117" s="347">
        <f>IF(F116+SUM(E$99:E116)=D$92,F116,D$92-SUM(E$99:E116))</f>
        <v>35927</v>
      </c>
      <c r="E117" s="487">
        <f>IF(+J96&lt;F116,J96,D117)</f>
        <v>1369</v>
      </c>
      <c r="F117" s="486">
        <f t="shared" si="34"/>
        <v>34558</v>
      </c>
      <c r="G117" s="486">
        <f t="shared" si="35"/>
        <v>35242.5</v>
      </c>
      <c r="H117" s="489">
        <f t="shared" si="36"/>
        <v>5002.9960641466141</v>
      </c>
      <c r="I117" s="543">
        <f t="shared" si="37"/>
        <v>5002.9960641466141</v>
      </c>
      <c r="J117" s="479">
        <f t="shared" si="21"/>
        <v>0</v>
      </c>
      <c r="K117" s="479"/>
      <c r="L117" s="488"/>
      <c r="M117" s="479">
        <f t="shared" si="22"/>
        <v>0</v>
      </c>
      <c r="N117" s="488"/>
      <c r="O117" s="479">
        <f t="shared" si="23"/>
        <v>0</v>
      </c>
      <c r="P117" s="479">
        <f t="shared" si="24"/>
        <v>0</v>
      </c>
    </row>
    <row r="118" spans="2:16" ht="12.5">
      <c r="B118" s="160" t="str">
        <f t="shared" si="25"/>
        <v/>
      </c>
      <c r="C118" s="473">
        <f>IF(D93="","-",+C117+1)</f>
        <v>2025</v>
      </c>
      <c r="D118" s="347">
        <f>IF(F117+SUM(E$99:E117)=D$92,F117,D$92-SUM(E$99:E117))</f>
        <v>34558</v>
      </c>
      <c r="E118" s="487">
        <f>IF(+J96&lt;F117,J96,D118)</f>
        <v>1369</v>
      </c>
      <c r="F118" s="486">
        <f t="shared" si="34"/>
        <v>33189</v>
      </c>
      <c r="G118" s="486">
        <f t="shared" si="35"/>
        <v>33873.5</v>
      </c>
      <c r="H118" s="489">
        <f t="shared" si="36"/>
        <v>4861.8329624422313</v>
      </c>
      <c r="I118" s="543">
        <f t="shared" si="37"/>
        <v>4861.8329624422313</v>
      </c>
      <c r="J118" s="479">
        <f t="shared" si="21"/>
        <v>0</v>
      </c>
      <c r="K118" s="479"/>
      <c r="L118" s="488"/>
      <c r="M118" s="479">
        <f t="shared" si="22"/>
        <v>0</v>
      </c>
      <c r="N118" s="488"/>
      <c r="O118" s="479">
        <f t="shared" si="23"/>
        <v>0</v>
      </c>
      <c r="P118" s="479">
        <f t="shared" si="24"/>
        <v>0</v>
      </c>
    </row>
    <row r="119" spans="2:16" ht="12.5">
      <c r="B119" s="160" t="str">
        <f t="shared" si="25"/>
        <v/>
      </c>
      <c r="C119" s="473">
        <f>IF(D93="","-",+C118+1)</f>
        <v>2026</v>
      </c>
      <c r="D119" s="347">
        <f>IF(F118+SUM(E$99:E118)=D$92,F118,D$92-SUM(E$99:E118))</f>
        <v>33189</v>
      </c>
      <c r="E119" s="487">
        <f>IF(+J96&lt;F118,J96,D119)</f>
        <v>1369</v>
      </c>
      <c r="F119" s="486">
        <f t="shared" si="34"/>
        <v>31820</v>
      </c>
      <c r="G119" s="486">
        <f t="shared" si="35"/>
        <v>32504.5</v>
      </c>
      <c r="H119" s="489">
        <f t="shared" si="36"/>
        <v>4720.6698607378476</v>
      </c>
      <c r="I119" s="543">
        <f t="shared" si="37"/>
        <v>4720.6698607378476</v>
      </c>
      <c r="J119" s="479">
        <f t="shared" si="21"/>
        <v>0</v>
      </c>
      <c r="K119" s="479"/>
      <c r="L119" s="488"/>
      <c r="M119" s="479">
        <f t="shared" si="22"/>
        <v>0</v>
      </c>
      <c r="N119" s="488"/>
      <c r="O119" s="479">
        <f t="shared" si="23"/>
        <v>0</v>
      </c>
      <c r="P119" s="479">
        <f t="shared" si="24"/>
        <v>0</v>
      </c>
    </row>
    <row r="120" spans="2:16" ht="12.5">
      <c r="B120" s="160" t="str">
        <f t="shared" si="25"/>
        <v/>
      </c>
      <c r="C120" s="473">
        <f>IF(D93="","-",+C119+1)</f>
        <v>2027</v>
      </c>
      <c r="D120" s="347">
        <f>IF(F119+SUM(E$99:E119)=D$92,F119,D$92-SUM(E$99:E119))</f>
        <v>31820</v>
      </c>
      <c r="E120" s="487">
        <f>IF(+J96&lt;F119,J96,D120)</f>
        <v>1369</v>
      </c>
      <c r="F120" s="486">
        <f t="shared" si="34"/>
        <v>30451</v>
      </c>
      <c r="G120" s="486">
        <f t="shared" si="35"/>
        <v>31135.5</v>
      </c>
      <c r="H120" s="489">
        <f t="shared" si="36"/>
        <v>4579.5067590334656</v>
      </c>
      <c r="I120" s="543">
        <f t="shared" si="37"/>
        <v>4579.5067590334656</v>
      </c>
      <c r="J120" s="479">
        <f t="shared" si="21"/>
        <v>0</v>
      </c>
      <c r="K120" s="479"/>
      <c r="L120" s="488"/>
      <c r="M120" s="479">
        <f t="shared" si="22"/>
        <v>0</v>
      </c>
      <c r="N120" s="488"/>
      <c r="O120" s="479">
        <f t="shared" si="23"/>
        <v>0</v>
      </c>
      <c r="P120" s="479">
        <f t="shared" si="24"/>
        <v>0</v>
      </c>
    </row>
    <row r="121" spans="2:16" ht="12.5">
      <c r="B121" s="160" t="str">
        <f t="shared" si="25"/>
        <v/>
      </c>
      <c r="C121" s="473">
        <f>IF(D93="","-",+C120+1)</f>
        <v>2028</v>
      </c>
      <c r="D121" s="347">
        <f>IF(F120+SUM(E$99:E120)=D$92,F120,D$92-SUM(E$99:E120))</f>
        <v>30451</v>
      </c>
      <c r="E121" s="487">
        <f>IF(+J96&lt;F120,J96,D121)</f>
        <v>1369</v>
      </c>
      <c r="F121" s="486">
        <f t="shared" si="34"/>
        <v>29082</v>
      </c>
      <c r="G121" s="486">
        <f t="shared" si="35"/>
        <v>29766.5</v>
      </c>
      <c r="H121" s="489">
        <f t="shared" si="36"/>
        <v>4438.3436573290819</v>
      </c>
      <c r="I121" s="543">
        <f t="shared" si="37"/>
        <v>4438.3436573290819</v>
      </c>
      <c r="J121" s="479">
        <f t="shared" si="21"/>
        <v>0</v>
      </c>
      <c r="K121" s="479"/>
      <c r="L121" s="488"/>
      <c r="M121" s="479">
        <f t="shared" si="22"/>
        <v>0</v>
      </c>
      <c r="N121" s="488"/>
      <c r="O121" s="479">
        <f t="shared" si="23"/>
        <v>0</v>
      </c>
      <c r="P121" s="479">
        <f t="shared" si="24"/>
        <v>0</v>
      </c>
    </row>
    <row r="122" spans="2:16" ht="12.5">
      <c r="B122" s="160" t="str">
        <f t="shared" si="25"/>
        <v/>
      </c>
      <c r="C122" s="473">
        <f>IF(D93="","-",+C121+1)</f>
        <v>2029</v>
      </c>
      <c r="D122" s="347">
        <f>IF(F121+SUM(E$99:E121)=D$92,F121,D$92-SUM(E$99:E121))</f>
        <v>29082</v>
      </c>
      <c r="E122" s="487">
        <f>IF(+J96&lt;F121,J96,D122)</f>
        <v>1369</v>
      </c>
      <c r="F122" s="486">
        <f t="shared" si="34"/>
        <v>27713</v>
      </c>
      <c r="G122" s="486">
        <f t="shared" si="35"/>
        <v>28397.5</v>
      </c>
      <c r="H122" s="489">
        <f t="shared" si="36"/>
        <v>4297.1805556247</v>
      </c>
      <c r="I122" s="543">
        <f t="shared" si="37"/>
        <v>4297.1805556247</v>
      </c>
      <c r="J122" s="479">
        <f t="shared" si="21"/>
        <v>0</v>
      </c>
      <c r="K122" s="479"/>
      <c r="L122" s="488"/>
      <c r="M122" s="479">
        <f t="shared" si="22"/>
        <v>0</v>
      </c>
      <c r="N122" s="488"/>
      <c r="O122" s="479">
        <f t="shared" si="23"/>
        <v>0</v>
      </c>
      <c r="P122" s="479">
        <f t="shared" si="24"/>
        <v>0</v>
      </c>
    </row>
    <row r="123" spans="2:16" ht="12.5">
      <c r="B123" s="160" t="str">
        <f t="shared" si="25"/>
        <v/>
      </c>
      <c r="C123" s="473">
        <f>IF(D93="","-",+C122+1)</f>
        <v>2030</v>
      </c>
      <c r="D123" s="347">
        <f>IF(F122+SUM(E$99:E122)=D$92,F122,D$92-SUM(E$99:E122))</f>
        <v>27713</v>
      </c>
      <c r="E123" s="487">
        <f>IF(+J96&lt;F122,J96,D123)</f>
        <v>1369</v>
      </c>
      <c r="F123" s="486">
        <f t="shared" si="34"/>
        <v>26344</v>
      </c>
      <c r="G123" s="486">
        <f t="shared" si="35"/>
        <v>27028.5</v>
      </c>
      <c r="H123" s="489">
        <f t="shared" si="36"/>
        <v>4156.0174539203163</v>
      </c>
      <c r="I123" s="543">
        <f t="shared" si="37"/>
        <v>4156.0174539203163</v>
      </c>
      <c r="J123" s="479">
        <f t="shared" si="21"/>
        <v>0</v>
      </c>
      <c r="K123" s="479"/>
      <c r="L123" s="488"/>
      <c r="M123" s="479">
        <f t="shared" si="22"/>
        <v>0</v>
      </c>
      <c r="N123" s="488"/>
      <c r="O123" s="479">
        <f t="shared" si="23"/>
        <v>0</v>
      </c>
      <c r="P123" s="479">
        <f t="shared" si="24"/>
        <v>0</v>
      </c>
    </row>
    <row r="124" spans="2:16" ht="12.5">
      <c r="B124" s="160" t="str">
        <f t="shared" si="25"/>
        <v/>
      </c>
      <c r="C124" s="473">
        <f>IF(D93="","-",+C123+1)</f>
        <v>2031</v>
      </c>
      <c r="D124" s="347">
        <f>IF(F123+SUM(E$99:E123)=D$92,F123,D$92-SUM(E$99:E123))</f>
        <v>26344</v>
      </c>
      <c r="E124" s="487">
        <f>IF(+J96&lt;F123,J96,D124)</f>
        <v>1369</v>
      </c>
      <c r="F124" s="486">
        <f t="shared" si="34"/>
        <v>24975</v>
      </c>
      <c r="G124" s="486">
        <f t="shared" si="35"/>
        <v>25659.5</v>
      </c>
      <c r="H124" s="489">
        <f t="shared" si="36"/>
        <v>4014.8543522159339</v>
      </c>
      <c r="I124" s="543">
        <f t="shared" si="37"/>
        <v>4014.8543522159339</v>
      </c>
      <c r="J124" s="479">
        <f t="shared" si="21"/>
        <v>0</v>
      </c>
      <c r="K124" s="479"/>
      <c r="L124" s="488"/>
      <c r="M124" s="479">
        <f t="shared" si="22"/>
        <v>0</v>
      </c>
      <c r="N124" s="488"/>
      <c r="O124" s="479">
        <f t="shared" si="23"/>
        <v>0</v>
      </c>
      <c r="P124" s="479">
        <f t="shared" si="24"/>
        <v>0</v>
      </c>
    </row>
    <row r="125" spans="2:16" ht="12.5">
      <c r="B125" s="160" t="str">
        <f t="shared" si="25"/>
        <v/>
      </c>
      <c r="C125" s="473">
        <f>IF(D93="","-",+C124+1)</f>
        <v>2032</v>
      </c>
      <c r="D125" s="347">
        <f>IF(F124+SUM(E$99:E124)=D$92,F124,D$92-SUM(E$99:E124))</f>
        <v>24975</v>
      </c>
      <c r="E125" s="487">
        <f>IF(+J96&lt;F124,J96,D125)</f>
        <v>1369</v>
      </c>
      <c r="F125" s="486">
        <f t="shared" si="34"/>
        <v>23606</v>
      </c>
      <c r="G125" s="486">
        <f t="shared" si="35"/>
        <v>24290.5</v>
      </c>
      <c r="H125" s="489">
        <f t="shared" si="36"/>
        <v>3873.6912505115506</v>
      </c>
      <c r="I125" s="543">
        <f t="shared" si="37"/>
        <v>3873.6912505115506</v>
      </c>
      <c r="J125" s="479">
        <f t="shared" si="21"/>
        <v>0</v>
      </c>
      <c r="K125" s="479"/>
      <c r="L125" s="488"/>
      <c r="M125" s="479">
        <f t="shared" si="22"/>
        <v>0</v>
      </c>
      <c r="N125" s="488"/>
      <c r="O125" s="479">
        <f t="shared" si="23"/>
        <v>0</v>
      </c>
      <c r="P125" s="479">
        <f t="shared" si="24"/>
        <v>0</v>
      </c>
    </row>
    <row r="126" spans="2:16" ht="12.5">
      <c r="B126" s="160" t="str">
        <f t="shared" si="25"/>
        <v/>
      </c>
      <c r="C126" s="473">
        <f>IF(D93="","-",+C125+1)</f>
        <v>2033</v>
      </c>
      <c r="D126" s="347">
        <f>IF(F125+SUM(E$99:E125)=D$92,F125,D$92-SUM(E$99:E125))</f>
        <v>23606</v>
      </c>
      <c r="E126" s="487">
        <f>IF(+J96&lt;F125,J96,D126)</f>
        <v>1369</v>
      </c>
      <c r="F126" s="486">
        <f t="shared" si="34"/>
        <v>22237</v>
      </c>
      <c r="G126" s="486">
        <f t="shared" si="35"/>
        <v>22921.5</v>
      </c>
      <c r="H126" s="489">
        <f t="shared" si="36"/>
        <v>3732.5281488071678</v>
      </c>
      <c r="I126" s="543">
        <f t="shared" si="37"/>
        <v>3732.5281488071678</v>
      </c>
      <c r="J126" s="479">
        <f t="shared" si="21"/>
        <v>0</v>
      </c>
      <c r="K126" s="479"/>
      <c r="L126" s="488"/>
      <c r="M126" s="479">
        <f t="shared" si="22"/>
        <v>0</v>
      </c>
      <c r="N126" s="488"/>
      <c r="O126" s="479">
        <f t="shared" si="23"/>
        <v>0</v>
      </c>
      <c r="P126" s="479">
        <f t="shared" si="24"/>
        <v>0</v>
      </c>
    </row>
    <row r="127" spans="2:16" ht="12.5">
      <c r="B127" s="160" t="str">
        <f t="shared" si="25"/>
        <v/>
      </c>
      <c r="C127" s="473">
        <f>IF(D93="","-",+C126+1)</f>
        <v>2034</v>
      </c>
      <c r="D127" s="347">
        <f>IF(F126+SUM(E$99:E126)=D$92,F126,D$92-SUM(E$99:E126))</f>
        <v>22237</v>
      </c>
      <c r="E127" s="487">
        <f>IF(+J96&lt;F126,J96,D127)</f>
        <v>1369</v>
      </c>
      <c r="F127" s="486">
        <f t="shared" si="34"/>
        <v>20868</v>
      </c>
      <c r="G127" s="486">
        <f t="shared" si="35"/>
        <v>21552.5</v>
      </c>
      <c r="H127" s="489">
        <f t="shared" si="36"/>
        <v>3591.365047102785</v>
      </c>
      <c r="I127" s="543">
        <f t="shared" si="37"/>
        <v>3591.365047102785</v>
      </c>
      <c r="J127" s="479">
        <f t="shared" si="21"/>
        <v>0</v>
      </c>
      <c r="K127" s="479"/>
      <c r="L127" s="488"/>
      <c r="M127" s="479">
        <f t="shared" si="22"/>
        <v>0</v>
      </c>
      <c r="N127" s="488"/>
      <c r="O127" s="479">
        <f t="shared" si="23"/>
        <v>0</v>
      </c>
      <c r="P127" s="479">
        <f t="shared" si="24"/>
        <v>0</v>
      </c>
    </row>
    <row r="128" spans="2:16" ht="12.5">
      <c r="B128" s="160" t="str">
        <f t="shared" si="25"/>
        <v/>
      </c>
      <c r="C128" s="473">
        <f>IF(D93="","-",+C127+1)</f>
        <v>2035</v>
      </c>
      <c r="D128" s="347">
        <f>IF(F127+SUM(E$99:E127)=D$92,F127,D$92-SUM(E$99:E127))</f>
        <v>20868</v>
      </c>
      <c r="E128" s="487">
        <f>IF(+J96&lt;F127,J96,D128)</f>
        <v>1369</v>
      </c>
      <c r="F128" s="486">
        <f t="shared" si="34"/>
        <v>19499</v>
      </c>
      <c r="G128" s="486">
        <f t="shared" si="35"/>
        <v>20183.5</v>
      </c>
      <c r="H128" s="489">
        <f t="shared" si="36"/>
        <v>3450.2019453984021</v>
      </c>
      <c r="I128" s="543">
        <f t="shared" si="37"/>
        <v>3450.2019453984021</v>
      </c>
      <c r="J128" s="479">
        <f t="shared" si="21"/>
        <v>0</v>
      </c>
      <c r="K128" s="479"/>
      <c r="L128" s="488"/>
      <c r="M128" s="479">
        <f t="shared" si="22"/>
        <v>0</v>
      </c>
      <c r="N128" s="488"/>
      <c r="O128" s="479">
        <f t="shared" si="23"/>
        <v>0</v>
      </c>
      <c r="P128" s="479">
        <f t="shared" si="24"/>
        <v>0</v>
      </c>
    </row>
    <row r="129" spans="2:16" ht="12.5">
      <c r="B129" s="160" t="str">
        <f t="shared" si="25"/>
        <v/>
      </c>
      <c r="C129" s="473">
        <f>IF(D93="","-",+C128+1)</f>
        <v>2036</v>
      </c>
      <c r="D129" s="347">
        <f>IF(F128+SUM(E$99:E128)=D$92,F128,D$92-SUM(E$99:E128))</f>
        <v>19499</v>
      </c>
      <c r="E129" s="487">
        <f>IF(+J96&lt;F128,J96,D129)</f>
        <v>1369</v>
      </c>
      <c r="F129" s="486">
        <f t="shared" si="34"/>
        <v>18130</v>
      </c>
      <c r="G129" s="486">
        <f t="shared" si="35"/>
        <v>18814.5</v>
      </c>
      <c r="H129" s="489">
        <f t="shared" si="36"/>
        <v>3309.0388436940193</v>
      </c>
      <c r="I129" s="543">
        <f t="shared" si="37"/>
        <v>3309.0388436940193</v>
      </c>
      <c r="J129" s="479">
        <f t="shared" si="21"/>
        <v>0</v>
      </c>
      <c r="K129" s="479"/>
      <c r="L129" s="488"/>
      <c r="M129" s="479">
        <f t="shared" si="22"/>
        <v>0</v>
      </c>
      <c r="N129" s="488"/>
      <c r="O129" s="479">
        <f t="shared" si="23"/>
        <v>0</v>
      </c>
      <c r="P129" s="479">
        <f t="shared" si="24"/>
        <v>0</v>
      </c>
    </row>
    <row r="130" spans="2:16" ht="12.5">
      <c r="B130" s="160" t="str">
        <f t="shared" si="25"/>
        <v/>
      </c>
      <c r="C130" s="473">
        <f>IF(D93="","-",+C129+1)</f>
        <v>2037</v>
      </c>
      <c r="D130" s="347">
        <f>IF(F129+SUM(E$99:E129)=D$92,F129,D$92-SUM(E$99:E129))</f>
        <v>18130</v>
      </c>
      <c r="E130" s="487">
        <f>IF(+J96&lt;F129,J96,D130)</f>
        <v>1369</v>
      </c>
      <c r="F130" s="486">
        <f t="shared" si="34"/>
        <v>16761</v>
      </c>
      <c r="G130" s="486">
        <f t="shared" si="35"/>
        <v>17445.5</v>
      </c>
      <c r="H130" s="489">
        <f t="shared" si="36"/>
        <v>3167.8757419896365</v>
      </c>
      <c r="I130" s="543">
        <f t="shared" si="37"/>
        <v>3167.8757419896365</v>
      </c>
      <c r="J130" s="479">
        <f t="shared" si="21"/>
        <v>0</v>
      </c>
      <c r="K130" s="479"/>
      <c r="L130" s="488"/>
      <c r="M130" s="479">
        <f t="shared" si="22"/>
        <v>0</v>
      </c>
      <c r="N130" s="488"/>
      <c r="O130" s="479">
        <f t="shared" si="23"/>
        <v>0</v>
      </c>
      <c r="P130" s="479">
        <f t="shared" si="24"/>
        <v>0</v>
      </c>
    </row>
    <row r="131" spans="2:16" ht="12.5">
      <c r="B131" s="160" t="str">
        <f t="shared" si="25"/>
        <v/>
      </c>
      <c r="C131" s="473">
        <f>IF(D93="","-",+C130+1)</f>
        <v>2038</v>
      </c>
      <c r="D131" s="347">
        <f>IF(F130+SUM(E$99:E130)=D$92,F130,D$92-SUM(E$99:E130))</f>
        <v>16761</v>
      </c>
      <c r="E131" s="487">
        <f>IF(+J96&lt;F130,J96,D131)</f>
        <v>1369</v>
      </c>
      <c r="F131" s="486">
        <f t="shared" ref="F131:F154" si="38">+D131-E131</f>
        <v>15392</v>
      </c>
      <c r="G131" s="486">
        <f t="shared" ref="G131:G154" si="39">+(F131+D131)/2</f>
        <v>16076.5</v>
      </c>
      <c r="H131" s="489">
        <f t="shared" si="36"/>
        <v>3026.7126402852537</v>
      </c>
      <c r="I131" s="543">
        <f t="shared" si="37"/>
        <v>3026.7126402852537</v>
      </c>
      <c r="J131" s="479">
        <f t="shared" ref="J131:J154" si="40">+I131-H131</f>
        <v>0</v>
      </c>
      <c r="K131" s="479"/>
      <c r="L131" s="488"/>
      <c r="M131" s="479">
        <f t="shared" ref="M131:M154" si="41">IF(L131&lt;&gt;0,+H131-L131,0)</f>
        <v>0</v>
      </c>
      <c r="N131" s="488"/>
      <c r="O131" s="479">
        <f t="shared" ref="O131:O154" si="42">IF(N131&lt;&gt;0,+I131-N131,0)</f>
        <v>0</v>
      </c>
      <c r="P131" s="479">
        <f t="shared" ref="P131:P154" si="43">+O131-M131</f>
        <v>0</v>
      </c>
    </row>
    <row r="132" spans="2:16" ht="12.5">
      <c r="B132" s="160" t="str">
        <f t="shared" si="25"/>
        <v/>
      </c>
      <c r="C132" s="473">
        <f>IF(D93="","-",+C131+1)</f>
        <v>2039</v>
      </c>
      <c r="D132" s="347">
        <f>IF(F131+SUM(E$99:E131)=D$92,F131,D$92-SUM(E$99:E131))</f>
        <v>15392</v>
      </c>
      <c r="E132" s="487">
        <f>IF(+J96&lt;F131,J96,D132)</f>
        <v>1369</v>
      </c>
      <c r="F132" s="486">
        <f t="shared" si="38"/>
        <v>14023</v>
      </c>
      <c r="G132" s="486">
        <f t="shared" si="39"/>
        <v>14707.5</v>
      </c>
      <c r="H132" s="489">
        <f t="shared" si="36"/>
        <v>2885.5495385808704</v>
      </c>
      <c r="I132" s="543">
        <f t="shared" si="37"/>
        <v>2885.5495385808704</v>
      </c>
      <c r="J132" s="479">
        <f t="shared" si="40"/>
        <v>0</v>
      </c>
      <c r="K132" s="479"/>
      <c r="L132" s="488"/>
      <c r="M132" s="479">
        <f t="shared" si="41"/>
        <v>0</v>
      </c>
      <c r="N132" s="488"/>
      <c r="O132" s="479">
        <f t="shared" si="42"/>
        <v>0</v>
      </c>
      <c r="P132" s="479">
        <f t="shared" si="43"/>
        <v>0</v>
      </c>
    </row>
    <row r="133" spans="2:16" ht="12.5">
      <c r="B133" s="160" t="str">
        <f t="shared" si="25"/>
        <v/>
      </c>
      <c r="C133" s="473">
        <f>IF(D93="","-",+C132+1)</f>
        <v>2040</v>
      </c>
      <c r="D133" s="347">
        <f>IF(F132+SUM(E$99:E132)=D$92,F132,D$92-SUM(E$99:E132))</f>
        <v>14023</v>
      </c>
      <c r="E133" s="487">
        <f>IF(+J96&lt;F132,J96,D133)</f>
        <v>1369</v>
      </c>
      <c r="F133" s="486">
        <f t="shared" si="38"/>
        <v>12654</v>
      </c>
      <c r="G133" s="486">
        <f t="shared" si="39"/>
        <v>13338.5</v>
      </c>
      <c r="H133" s="489">
        <f t="shared" si="36"/>
        <v>2744.3864368764876</v>
      </c>
      <c r="I133" s="543">
        <f t="shared" si="37"/>
        <v>2744.3864368764876</v>
      </c>
      <c r="J133" s="479">
        <f t="shared" si="40"/>
        <v>0</v>
      </c>
      <c r="K133" s="479"/>
      <c r="L133" s="488"/>
      <c r="M133" s="479">
        <f t="shared" si="41"/>
        <v>0</v>
      </c>
      <c r="N133" s="488"/>
      <c r="O133" s="479">
        <f t="shared" si="42"/>
        <v>0</v>
      </c>
      <c r="P133" s="479">
        <f t="shared" si="43"/>
        <v>0</v>
      </c>
    </row>
    <row r="134" spans="2:16" ht="12.5">
      <c r="B134" s="160" t="str">
        <f t="shared" si="25"/>
        <v/>
      </c>
      <c r="C134" s="473">
        <f>IF(D93="","-",+C133+1)</f>
        <v>2041</v>
      </c>
      <c r="D134" s="347">
        <f>IF(F133+SUM(E$99:E133)=D$92,F133,D$92-SUM(E$99:E133))</f>
        <v>12654</v>
      </c>
      <c r="E134" s="487">
        <f>IF(+J96&lt;F133,J96,D134)</f>
        <v>1369</v>
      </c>
      <c r="F134" s="486">
        <f t="shared" si="38"/>
        <v>11285</v>
      </c>
      <c r="G134" s="486">
        <f t="shared" si="39"/>
        <v>11969.5</v>
      </c>
      <c r="H134" s="489">
        <f t="shared" si="36"/>
        <v>2603.2233351721043</v>
      </c>
      <c r="I134" s="543">
        <f t="shared" si="37"/>
        <v>2603.2233351721043</v>
      </c>
      <c r="J134" s="479">
        <f t="shared" si="40"/>
        <v>0</v>
      </c>
      <c r="K134" s="479"/>
      <c r="L134" s="488"/>
      <c r="M134" s="479">
        <f t="shared" si="41"/>
        <v>0</v>
      </c>
      <c r="N134" s="488"/>
      <c r="O134" s="479">
        <f t="shared" si="42"/>
        <v>0</v>
      </c>
      <c r="P134" s="479">
        <f t="shared" si="43"/>
        <v>0</v>
      </c>
    </row>
    <row r="135" spans="2:16" ht="12.5">
      <c r="B135" s="160" t="str">
        <f t="shared" si="25"/>
        <v/>
      </c>
      <c r="C135" s="473">
        <f>IF(D93="","-",+C134+1)</f>
        <v>2042</v>
      </c>
      <c r="D135" s="347">
        <f>IF(F134+SUM(E$99:E134)=D$92,F134,D$92-SUM(E$99:E134))</f>
        <v>11285</v>
      </c>
      <c r="E135" s="487">
        <f>IF(+J96&lt;F134,J96,D135)</f>
        <v>1369</v>
      </c>
      <c r="F135" s="486">
        <f t="shared" si="38"/>
        <v>9916</v>
      </c>
      <c r="G135" s="486">
        <f t="shared" si="39"/>
        <v>10600.5</v>
      </c>
      <c r="H135" s="489">
        <f t="shared" si="36"/>
        <v>2462.0602334677214</v>
      </c>
      <c r="I135" s="543">
        <f t="shared" si="37"/>
        <v>2462.0602334677214</v>
      </c>
      <c r="J135" s="479">
        <f t="shared" si="40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3"/>
        <v>0</v>
      </c>
    </row>
    <row r="136" spans="2:16" ht="12.5">
      <c r="B136" s="160" t="str">
        <f t="shared" si="25"/>
        <v/>
      </c>
      <c r="C136" s="473">
        <f>IF(D93="","-",+C135+1)</f>
        <v>2043</v>
      </c>
      <c r="D136" s="347">
        <f>IF(F135+SUM(E$99:E135)=D$92,F135,D$92-SUM(E$99:E135))</f>
        <v>9916</v>
      </c>
      <c r="E136" s="487">
        <f>IF(+J96&lt;F135,J96,D136)</f>
        <v>1369</v>
      </c>
      <c r="F136" s="486">
        <f t="shared" si="38"/>
        <v>8547</v>
      </c>
      <c r="G136" s="486">
        <f t="shared" si="39"/>
        <v>9231.5</v>
      </c>
      <c r="H136" s="489">
        <f t="shared" si="36"/>
        <v>2320.8971317633386</v>
      </c>
      <c r="I136" s="543">
        <f t="shared" si="37"/>
        <v>2320.8971317633386</v>
      </c>
      <c r="J136" s="479">
        <f t="shared" si="40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3"/>
        <v>0</v>
      </c>
    </row>
    <row r="137" spans="2:16" ht="12.5">
      <c r="B137" s="160" t="str">
        <f t="shared" si="25"/>
        <v/>
      </c>
      <c r="C137" s="473">
        <f>IF(D93="","-",+C136+1)</f>
        <v>2044</v>
      </c>
      <c r="D137" s="347">
        <f>IF(F136+SUM(E$99:E136)=D$92,F136,D$92-SUM(E$99:E136))</f>
        <v>8547</v>
      </c>
      <c r="E137" s="487">
        <f>IF(+J96&lt;F136,J96,D137)</f>
        <v>1369</v>
      </c>
      <c r="F137" s="486">
        <f t="shared" si="38"/>
        <v>7178</v>
      </c>
      <c r="G137" s="486">
        <f t="shared" si="39"/>
        <v>7862.5</v>
      </c>
      <c r="H137" s="489">
        <f t="shared" si="36"/>
        <v>2179.7340300589558</v>
      </c>
      <c r="I137" s="543">
        <f t="shared" si="37"/>
        <v>2179.7340300589558</v>
      </c>
      <c r="J137" s="479">
        <f t="shared" si="40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3"/>
        <v>0</v>
      </c>
    </row>
    <row r="138" spans="2:16" ht="12.5">
      <c r="B138" s="160" t="str">
        <f t="shared" si="25"/>
        <v/>
      </c>
      <c r="C138" s="473">
        <f>IF(D93="","-",+C137+1)</f>
        <v>2045</v>
      </c>
      <c r="D138" s="347">
        <f>IF(F137+SUM(E$99:E137)=D$92,F137,D$92-SUM(E$99:E137))</f>
        <v>7178</v>
      </c>
      <c r="E138" s="487">
        <f>IF(+J96&lt;F137,J96,D138)</f>
        <v>1369</v>
      </c>
      <c r="F138" s="486">
        <f t="shared" si="38"/>
        <v>5809</v>
      </c>
      <c r="G138" s="486">
        <f t="shared" si="39"/>
        <v>6493.5</v>
      </c>
      <c r="H138" s="489">
        <f t="shared" si="36"/>
        <v>2038.570928354573</v>
      </c>
      <c r="I138" s="543">
        <f t="shared" si="37"/>
        <v>2038.570928354573</v>
      </c>
      <c r="J138" s="479">
        <f t="shared" si="40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3"/>
        <v>0</v>
      </c>
    </row>
    <row r="139" spans="2:16" ht="12.5">
      <c r="B139" s="160" t="str">
        <f t="shared" si="25"/>
        <v/>
      </c>
      <c r="C139" s="473">
        <f>IF(D93="","-",+C138+1)</f>
        <v>2046</v>
      </c>
      <c r="D139" s="347">
        <f>IF(F138+SUM(E$99:E138)=D$92,F138,D$92-SUM(E$99:E138))</f>
        <v>5809</v>
      </c>
      <c r="E139" s="487">
        <f>IF(+J96&lt;F138,J96,D139)</f>
        <v>1369</v>
      </c>
      <c r="F139" s="486">
        <f t="shared" si="38"/>
        <v>4440</v>
      </c>
      <c r="G139" s="486">
        <f t="shared" si="39"/>
        <v>5124.5</v>
      </c>
      <c r="H139" s="489">
        <f t="shared" si="36"/>
        <v>1897.4078266501901</v>
      </c>
      <c r="I139" s="543">
        <f t="shared" si="37"/>
        <v>1897.4078266501901</v>
      </c>
      <c r="J139" s="479">
        <f t="shared" si="40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3"/>
        <v>0</v>
      </c>
    </row>
    <row r="140" spans="2:16" ht="12.5">
      <c r="B140" s="160" t="str">
        <f t="shared" si="25"/>
        <v/>
      </c>
      <c r="C140" s="473">
        <f>IF(D93="","-",+C139+1)</f>
        <v>2047</v>
      </c>
      <c r="D140" s="347">
        <f>IF(F139+SUM(E$99:E139)=D$92,F139,D$92-SUM(E$99:E139))</f>
        <v>4440</v>
      </c>
      <c r="E140" s="487">
        <f>IF(+J96&lt;F139,J96,D140)</f>
        <v>1369</v>
      </c>
      <c r="F140" s="486">
        <f t="shared" si="38"/>
        <v>3071</v>
      </c>
      <c r="G140" s="486">
        <f t="shared" si="39"/>
        <v>3755.5</v>
      </c>
      <c r="H140" s="489">
        <f t="shared" si="36"/>
        <v>1756.2447249458071</v>
      </c>
      <c r="I140" s="543">
        <f t="shared" si="37"/>
        <v>1756.2447249458071</v>
      </c>
      <c r="J140" s="479">
        <f t="shared" si="40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3"/>
        <v>0</v>
      </c>
    </row>
    <row r="141" spans="2:16" ht="12.5">
      <c r="B141" s="160" t="str">
        <f t="shared" si="25"/>
        <v/>
      </c>
      <c r="C141" s="473">
        <f>IF(D93="","-",+C140+1)</f>
        <v>2048</v>
      </c>
      <c r="D141" s="347">
        <f>IF(F140+SUM(E$99:E140)=D$92,F140,D$92-SUM(E$99:E140))</f>
        <v>3071</v>
      </c>
      <c r="E141" s="487">
        <f>IF(+J96&lt;F140,J96,D141)</f>
        <v>1369</v>
      </c>
      <c r="F141" s="486">
        <f t="shared" si="38"/>
        <v>1702</v>
      </c>
      <c r="G141" s="486">
        <f t="shared" si="39"/>
        <v>2386.5</v>
      </c>
      <c r="H141" s="489">
        <f t="shared" si="36"/>
        <v>1615.0816232414243</v>
      </c>
      <c r="I141" s="543">
        <f t="shared" si="37"/>
        <v>1615.0816232414243</v>
      </c>
      <c r="J141" s="479">
        <f t="shared" si="40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3"/>
        <v>0</v>
      </c>
    </row>
    <row r="142" spans="2:16" ht="12.5">
      <c r="B142" s="160" t="str">
        <f t="shared" si="25"/>
        <v/>
      </c>
      <c r="C142" s="473">
        <f>IF(D93="","-",+C141+1)</f>
        <v>2049</v>
      </c>
      <c r="D142" s="347">
        <f>IF(F141+SUM(E$99:E141)=D$92,F141,D$92-SUM(E$99:E141))</f>
        <v>1702</v>
      </c>
      <c r="E142" s="487">
        <f>IF(+J96&lt;F141,J96,D142)</f>
        <v>1369</v>
      </c>
      <c r="F142" s="486">
        <f t="shared" si="38"/>
        <v>333</v>
      </c>
      <c r="G142" s="486">
        <f t="shared" si="39"/>
        <v>1017.5</v>
      </c>
      <c r="H142" s="489">
        <f t="shared" si="36"/>
        <v>1473.9185215370414</v>
      </c>
      <c r="I142" s="543">
        <f t="shared" si="37"/>
        <v>1473.9185215370414</v>
      </c>
      <c r="J142" s="479">
        <f t="shared" si="40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3"/>
        <v>0</v>
      </c>
    </row>
    <row r="143" spans="2:16" ht="12.5">
      <c r="B143" s="160" t="str">
        <f t="shared" si="25"/>
        <v/>
      </c>
      <c r="C143" s="473">
        <f>IF(D93="","-",+C142+1)</f>
        <v>2050</v>
      </c>
      <c r="D143" s="347">
        <f>IF(F142+SUM(E$99:E142)=D$92,F142,D$92-SUM(E$99:E142))</f>
        <v>333</v>
      </c>
      <c r="E143" s="487">
        <f>IF(+J96&lt;F142,J96,D143)</f>
        <v>333</v>
      </c>
      <c r="F143" s="486">
        <f t="shared" si="38"/>
        <v>0</v>
      </c>
      <c r="G143" s="486">
        <f t="shared" si="39"/>
        <v>166.5</v>
      </c>
      <c r="H143" s="489">
        <f t="shared" si="36"/>
        <v>350.16848534242496</v>
      </c>
      <c r="I143" s="543">
        <f t="shared" si="37"/>
        <v>350.16848534242496</v>
      </c>
      <c r="J143" s="479">
        <f t="shared" si="40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3"/>
        <v>0</v>
      </c>
    </row>
    <row r="144" spans="2:16" ht="12.5">
      <c r="B144" s="160" t="str">
        <f t="shared" si="25"/>
        <v/>
      </c>
      <c r="C144" s="473">
        <f>IF(D93="","-",+C143+1)</f>
        <v>2051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8"/>
        <v>0</v>
      </c>
      <c r="G144" s="486">
        <f t="shared" si="39"/>
        <v>0</v>
      </c>
      <c r="H144" s="489">
        <f t="shared" si="36"/>
        <v>0</v>
      </c>
      <c r="I144" s="543">
        <f t="shared" si="37"/>
        <v>0</v>
      </c>
      <c r="J144" s="479">
        <f t="shared" si="40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3"/>
        <v>0</v>
      </c>
    </row>
    <row r="145" spans="2:16" ht="12.5">
      <c r="B145" s="160" t="str">
        <f t="shared" si="25"/>
        <v/>
      </c>
      <c r="C145" s="473">
        <f>IF(D93="","-",+C144+1)</f>
        <v>2052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8"/>
        <v>0</v>
      </c>
      <c r="G145" s="486">
        <f t="shared" si="39"/>
        <v>0</v>
      </c>
      <c r="H145" s="489">
        <f t="shared" si="36"/>
        <v>0</v>
      </c>
      <c r="I145" s="543">
        <f t="shared" si="37"/>
        <v>0</v>
      </c>
      <c r="J145" s="479">
        <f t="shared" si="40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3"/>
        <v>0</v>
      </c>
    </row>
    <row r="146" spans="2:16" ht="12.5">
      <c r="B146" s="160" t="str">
        <f t="shared" si="25"/>
        <v/>
      </c>
      <c r="C146" s="473">
        <f>IF(D93="","-",+C145+1)</f>
        <v>2053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8"/>
        <v>0</v>
      </c>
      <c r="G146" s="486">
        <f t="shared" si="39"/>
        <v>0</v>
      </c>
      <c r="H146" s="489">
        <f t="shared" si="36"/>
        <v>0</v>
      </c>
      <c r="I146" s="543">
        <f t="shared" si="37"/>
        <v>0</v>
      </c>
      <c r="J146" s="479">
        <f t="shared" si="40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3"/>
        <v>0</v>
      </c>
    </row>
    <row r="147" spans="2:16" ht="12.5">
      <c r="B147" s="160" t="str">
        <f t="shared" si="25"/>
        <v/>
      </c>
      <c r="C147" s="473">
        <f>IF(D93="","-",+C146+1)</f>
        <v>2054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8"/>
        <v>0</v>
      </c>
      <c r="G147" s="486">
        <f t="shared" si="39"/>
        <v>0</v>
      </c>
      <c r="H147" s="489">
        <f t="shared" si="36"/>
        <v>0</v>
      </c>
      <c r="I147" s="543">
        <f t="shared" si="37"/>
        <v>0</v>
      </c>
      <c r="J147" s="479">
        <f t="shared" si="40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3"/>
        <v>0</v>
      </c>
    </row>
    <row r="148" spans="2:16" ht="12.5">
      <c r="B148" s="160" t="str">
        <f t="shared" si="25"/>
        <v/>
      </c>
      <c r="C148" s="473">
        <f>IF(D93="","-",+C147+1)</f>
        <v>2055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8"/>
        <v>0</v>
      </c>
      <c r="G148" s="486">
        <f t="shared" si="39"/>
        <v>0</v>
      </c>
      <c r="H148" s="489">
        <f t="shared" si="36"/>
        <v>0</v>
      </c>
      <c r="I148" s="543">
        <f t="shared" si="37"/>
        <v>0</v>
      </c>
      <c r="J148" s="479">
        <f t="shared" si="40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3"/>
        <v>0</v>
      </c>
    </row>
    <row r="149" spans="2:16" ht="12.5">
      <c r="B149" s="160" t="str">
        <f t="shared" si="25"/>
        <v/>
      </c>
      <c r="C149" s="473">
        <f>IF(D93="","-",+C148+1)</f>
        <v>2056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8"/>
        <v>0</v>
      </c>
      <c r="G149" s="486">
        <f t="shared" si="39"/>
        <v>0</v>
      </c>
      <c r="H149" s="489">
        <f t="shared" si="36"/>
        <v>0</v>
      </c>
      <c r="I149" s="543">
        <f t="shared" si="37"/>
        <v>0</v>
      </c>
      <c r="J149" s="479">
        <f t="shared" si="40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3"/>
        <v>0</v>
      </c>
    </row>
    <row r="150" spans="2:16" ht="12.5">
      <c r="B150" s="160" t="str">
        <f t="shared" si="25"/>
        <v/>
      </c>
      <c r="C150" s="473">
        <f>IF(D93="","-",+C149+1)</f>
        <v>2057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8"/>
        <v>0</v>
      </c>
      <c r="G150" s="486">
        <f t="shared" si="39"/>
        <v>0</v>
      </c>
      <c r="H150" s="489">
        <f t="shared" si="36"/>
        <v>0</v>
      </c>
      <c r="I150" s="543">
        <f t="shared" si="37"/>
        <v>0</v>
      </c>
      <c r="J150" s="479">
        <f t="shared" si="40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3"/>
        <v>0</v>
      </c>
    </row>
    <row r="151" spans="2:16" ht="12.5">
      <c r="B151" s="160" t="str">
        <f t="shared" si="25"/>
        <v/>
      </c>
      <c r="C151" s="473">
        <f>IF(D93="","-",+C150+1)</f>
        <v>2058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8"/>
        <v>0</v>
      </c>
      <c r="G151" s="486">
        <f t="shared" si="39"/>
        <v>0</v>
      </c>
      <c r="H151" s="489">
        <f t="shared" si="36"/>
        <v>0</v>
      </c>
      <c r="I151" s="543">
        <f t="shared" si="37"/>
        <v>0</v>
      </c>
      <c r="J151" s="479">
        <f t="shared" si="40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3"/>
        <v>0</v>
      </c>
    </row>
    <row r="152" spans="2:16" ht="12.5">
      <c r="B152" s="160" t="str">
        <f t="shared" si="25"/>
        <v/>
      </c>
      <c r="C152" s="473">
        <f>IF(D93="","-",+C151+1)</f>
        <v>2059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8"/>
        <v>0</v>
      </c>
      <c r="G152" s="486">
        <f t="shared" si="39"/>
        <v>0</v>
      </c>
      <c r="H152" s="489">
        <f t="shared" si="36"/>
        <v>0</v>
      </c>
      <c r="I152" s="543">
        <f t="shared" si="37"/>
        <v>0</v>
      </c>
      <c r="J152" s="479">
        <f t="shared" si="40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3"/>
        <v>0</v>
      </c>
    </row>
    <row r="153" spans="2:16" ht="12.5">
      <c r="B153" s="160" t="str">
        <f t="shared" si="25"/>
        <v/>
      </c>
      <c r="C153" s="473">
        <f>IF(D93="","-",+C152+1)</f>
        <v>2060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8"/>
        <v>0</v>
      </c>
      <c r="G153" s="486">
        <f t="shared" si="39"/>
        <v>0</v>
      </c>
      <c r="H153" s="489">
        <f t="shared" si="36"/>
        <v>0</v>
      </c>
      <c r="I153" s="543">
        <f t="shared" si="37"/>
        <v>0</v>
      </c>
      <c r="J153" s="479">
        <f t="shared" si="40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3"/>
        <v>0</v>
      </c>
    </row>
    <row r="154" spans="2:16" ht="13" thickBot="1">
      <c r="B154" s="160" t="str">
        <f t="shared" si="25"/>
        <v/>
      </c>
      <c r="C154" s="490">
        <f>IF(D93="","-",+C153+1)</f>
        <v>2061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8"/>
        <v>0</v>
      </c>
      <c r="G154" s="491">
        <f t="shared" si="39"/>
        <v>0</v>
      </c>
      <c r="H154" s="493">
        <f t="shared" si="36"/>
        <v>0</v>
      </c>
      <c r="I154" s="546">
        <f t="shared" si="37"/>
        <v>0</v>
      </c>
      <c r="J154" s="496">
        <f t="shared" si="40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56133</v>
      </c>
      <c r="F155" s="348"/>
      <c r="G155" s="348"/>
      <c r="H155" s="348">
        <f>SUM(H99:H154)</f>
        <v>199647.09030709197</v>
      </c>
      <c r="I155" s="348">
        <f>SUM(I99:I154)</f>
        <v>199647.09030709197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9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7989.0212540933571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7989.0212540933571</v>
      </c>
      <c r="O6" s="233"/>
      <c r="P6" s="233"/>
    </row>
    <row r="7" spans="1:16" ht="13.5" thickBot="1">
      <c r="C7" s="432" t="s">
        <v>46</v>
      </c>
      <c r="D7" s="433" t="s">
        <v>216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88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72551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4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1612.2444444444445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2007</v>
      </c>
      <c r="D17" s="474">
        <v>72551</v>
      </c>
      <c r="E17" s="475">
        <v>863.70238095238085</v>
      </c>
      <c r="F17" s="474">
        <v>71687.297619047618</v>
      </c>
      <c r="G17" s="475">
        <v>11207.929543529199</v>
      </c>
      <c r="H17" s="482">
        <v>11207.929543529199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2008</v>
      </c>
      <c r="D18" s="480">
        <v>71687.297619047618</v>
      </c>
      <c r="E18" s="481">
        <v>1295.5535714285713</v>
      </c>
      <c r="F18" s="480">
        <v>70391.744047619053</v>
      </c>
      <c r="G18" s="481">
        <v>11452.836869621469</v>
      </c>
      <c r="H18" s="482">
        <v>11452.836869621469</v>
      </c>
      <c r="I18" s="476">
        <f t="shared" si="0"/>
        <v>0</v>
      </c>
      <c r="J18" s="476"/>
      <c r="K18" s="477">
        <v>0</v>
      </c>
      <c r="L18" s="479">
        <f t="shared" si="1"/>
        <v>0</v>
      </c>
      <c r="M18" s="477">
        <v>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2009</v>
      </c>
      <c r="D19" s="480">
        <v>70391.744047619053</v>
      </c>
      <c r="E19" s="481">
        <v>1295.5535714285713</v>
      </c>
      <c r="F19" s="480">
        <v>69096.190476190488</v>
      </c>
      <c r="G19" s="481">
        <v>11265.893005237553</v>
      </c>
      <c r="H19" s="482">
        <v>11265.893005237553</v>
      </c>
      <c r="I19" s="476">
        <f t="shared" si="0"/>
        <v>0</v>
      </c>
      <c r="J19" s="476"/>
      <c r="K19" s="477">
        <v>0</v>
      </c>
      <c r="L19" s="479">
        <f t="shared" si="1"/>
        <v>0</v>
      </c>
      <c r="M19" s="477">
        <v>0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2010</v>
      </c>
      <c r="D20" s="480">
        <v>69096.190476190488</v>
      </c>
      <c r="E20" s="481">
        <v>1295.5535714285713</v>
      </c>
      <c r="F20" s="480">
        <v>67800.636904761923</v>
      </c>
      <c r="G20" s="481">
        <v>11078.949140853634</v>
      </c>
      <c r="H20" s="482">
        <v>11078.949140853634</v>
      </c>
      <c r="I20" s="476">
        <f t="shared" si="0"/>
        <v>0</v>
      </c>
      <c r="J20" s="476"/>
      <c r="K20" s="541">
        <f t="shared" ref="K20:K25" si="5">G20</f>
        <v>11078.949140853634</v>
      </c>
      <c r="L20" s="542">
        <f t="shared" si="1"/>
        <v>0</v>
      </c>
      <c r="M20" s="541">
        <f t="shared" ref="M20:M25" si="6">H20</f>
        <v>11078.949140853634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4"/>
        <v/>
      </c>
      <c r="C21" s="473">
        <f>IF(D11="","-",+C20+1)</f>
        <v>2011</v>
      </c>
      <c r="D21" s="480">
        <v>67800.636904761923</v>
      </c>
      <c r="E21" s="481">
        <v>1422.5686274509803</v>
      </c>
      <c r="F21" s="480">
        <v>66378.068277310944</v>
      </c>
      <c r="G21" s="481">
        <v>11813.613268851301</v>
      </c>
      <c r="H21" s="482">
        <v>11813.613268851301</v>
      </c>
      <c r="I21" s="476">
        <f t="shared" si="0"/>
        <v>0</v>
      </c>
      <c r="J21" s="476"/>
      <c r="K21" s="477">
        <f t="shared" si="5"/>
        <v>11813.613268851301</v>
      </c>
      <c r="L21" s="551">
        <f t="shared" si="1"/>
        <v>0</v>
      </c>
      <c r="M21" s="477">
        <f t="shared" si="6"/>
        <v>11813.613268851301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4"/>
        <v/>
      </c>
      <c r="C22" s="473">
        <f>IF(D11="","-",+C21+1)</f>
        <v>2012</v>
      </c>
      <c r="D22" s="480">
        <v>66378.068277310944</v>
      </c>
      <c r="E22" s="481">
        <v>1395.2115384615386</v>
      </c>
      <c r="F22" s="480">
        <v>64982.856738849405</v>
      </c>
      <c r="G22" s="481">
        <v>10441.262785463339</v>
      </c>
      <c r="H22" s="482">
        <v>10441.262785463339</v>
      </c>
      <c r="I22" s="476">
        <f t="shared" si="0"/>
        <v>0</v>
      </c>
      <c r="J22" s="476"/>
      <c r="K22" s="477">
        <f t="shared" si="5"/>
        <v>10441.262785463339</v>
      </c>
      <c r="L22" s="551">
        <f t="shared" si="1"/>
        <v>0</v>
      </c>
      <c r="M22" s="477">
        <f t="shared" si="6"/>
        <v>10441.262785463339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4"/>
        <v/>
      </c>
      <c r="C23" s="473">
        <f>IF(D11="","-",+C22+1)</f>
        <v>2013</v>
      </c>
      <c r="D23" s="480">
        <v>64982.856738849405</v>
      </c>
      <c r="E23" s="481">
        <v>1395.2115384615386</v>
      </c>
      <c r="F23" s="480">
        <v>63587.645200387866</v>
      </c>
      <c r="G23" s="481">
        <v>10475.957148527981</v>
      </c>
      <c r="H23" s="482">
        <v>10475.957148527981</v>
      </c>
      <c r="I23" s="476">
        <v>0</v>
      </c>
      <c r="J23" s="476"/>
      <c r="K23" s="477">
        <f t="shared" si="5"/>
        <v>10475.957148527981</v>
      </c>
      <c r="L23" s="551">
        <f t="shared" ref="L23:L28" si="7">IF(K23&lt;&gt;0,+G23-K23,0)</f>
        <v>0</v>
      </c>
      <c r="M23" s="477">
        <f t="shared" si="6"/>
        <v>10475.957148527981</v>
      </c>
      <c r="N23" s="479">
        <f t="shared" ref="N23:N28" si="8">IF(M23&lt;&gt;0,+H23-M23,0)</f>
        <v>0</v>
      </c>
      <c r="O23" s="479">
        <f t="shared" ref="O23:O28" si="9">+N23-L23</f>
        <v>0</v>
      </c>
      <c r="P23" s="243"/>
    </row>
    <row r="24" spans="2:16" ht="12.5">
      <c r="B24" s="160" t="str">
        <f t="shared" si="4"/>
        <v/>
      </c>
      <c r="C24" s="473">
        <f>IF(D11="","-",+C23+1)</f>
        <v>2014</v>
      </c>
      <c r="D24" s="480">
        <v>63587.645200387866</v>
      </c>
      <c r="E24" s="481">
        <v>1395.2115384615386</v>
      </c>
      <c r="F24" s="480">
        <v>62192.433661926327</v>
      </c>
      <c r="G24" s="481">
        <v>9956.5453160541092</v>
      </c>
      <c r="H24" s="482">
        <v>9956.5453160541092</v>
      </c>
      <c r="I24" s="476">
        <v>0</v>
      </c>
      <c r="J24" s="476"/>
      <c r="K24" s="477">
        <f t="shared" si="5"/>
        <v>9956.5453160541092</v>
      </c>
      <c r="L24" s="551">
        <f t="shared" si="7"/>
        <v>0</v>
      </c>
      <c r="M24" s="477">
        <f t="shared" si="6"/>
        <v>9956.5453160541092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4"/>
        <v/>
      </c>
      <c r="C25" s="473">
        <f>IF(D11="","-",+C24+1)</f>
        <v>2015</v>
      </c>
      <c r="D25" s="480">
        <v>62192.433661926327</v>
      </c>
      <c r="E25" s="481">
        <v>1395.2115384615386</v>
      </c>
      <c r="F25" s="480">
        <v>60797.222123464788</v>
      </c>
      <c r="G25" s="481">
        <v>9777.4252794187214</v>
      </c>
      <c r="H25" s="482">
        <v>9777.4252794187214</v>
      </c>
      <c r="I25" s="476">
        <v>0</v>
      </c>
      <c r="J25" s="476"/>
      <c r="K25" s="477">
        <f t="shared" si="5"/>
        <v>9777.4252794187214</v>
      </c>
      <c r="L25" s="551">
        <f t="shared" si="7"/>
        <v>0</v>
      </c>
      <c r="M25" s="477">
        <f t="shared" si="6"/>
        <v>9777.4252794187214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4"/>
        <v/>
      </c>
      <c r="C26" s="473">
        <f>IF(D11="","-",+C25+1)</f>
        <v>2016</v>
      </c>
      <c r="D26" s="480">
        <v>60797.222123464788</v>
      </c>
      <c r="E26" s="481">
        <v>1395.2115384615386</v>
      </c>
      <c r="F26" s="480">
        <v>59402.010585003249</v>
      </c>
      <c r="G26" s="481">
        <v>9186.357507240491</v>
      </c>
      <c r="H26" s="482">
        <v>9186.357507240491</v>
      </c>
      <c r="I26" s="476">
        <f t="shared" si="0"/>
        <v>0</v>
      </c>
      <c r="J26" s="476"/>
      <c r="K26" s="477">
        <f>G26</f>
        <v>9186.357507240491</v>
      </c>
      <c r="L26" s="551">
        <f t="shared" si="7"/>
        <v>0</v>
      </c>
      <c r="M26" s="477">
        <f>H26</f>
        <v>9186.357507240491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4"/>
        <v/>
      </c>
      <c r="C27" s="473">
        <f>IF(D11="","-",+C26+1)</f>
        <v>2017</v>
      </c>
      <c r="D27" s="480">
        <v>59402.010585003249</v>
      </c>
      <c r="E27" s="481">
        <v>1577.195652173913</v>
      </c>
      <c r="F27" s="480">
        <v>57824.814932829337</v>
      </c>
      <c r="G27" s="481">
        <v>8936.0194589414823</v>
      </c>
      <c r="H27" s="482">
        <v>8936.0194589414823</v>
      </c>
      <c r="I27" s="476">
        <f t="shared" si="0"/>
        <v>0</v>
      </c>
      <c r="J27" s="476"/>
      <c r="K27" s="477">
        <f>G27</f>
        <v>8936.0194589414823</v>
      </c>
      <c r="L27" s="551">
        <f t="shared" si="7"/>
        <v>0</v>
      </c>
      <c r="M27" s="477">
        <f>H27</f>
        <v>8936.0194589414823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4"/>
        <v/>
      </c>
      <c r="C28" s="473">
        <f>IF(D11="","-",+C27+1)</f>
        <v>2018</v>
      </c>
      <c r="D28" s="480">
        <v>57824.814932829337</v>
      </c>
      <c r="E28" s="481">
        <v>1612.2444444444445</v>
      </c>
      <c r="F28" s="480">
        <v>56212.570488384896</v>
      </c>
      <c r="G28" s="481">
        <v>8440.7426840086373</v>
      </c>
      <c r="H28" s="482">
        <v>8440.7426840086373</v>
      </c>
      <c r="I28" s="476">
        <f t="shared" si="0"/>
        <v>0</v>
      </c>
      <c r="J28" s="476"/>
      <c r="K28" s="477">
        <f>G28</f>
        <v>8440.7426840086373</v>
      </c>
      <c r="L28" s="551">
        <f t="shared" si="7"/>
        <v>0</v>
      </c>
      <c r="M28" s="477">
        <f>H28</f>
        <v>8440.7426840086373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4"/>
        <v/>
      </c>
      <c r="C29" s="473">
        <f>IF(D11="","-",+C28+1)</f>
        <v>2019</v>
      </c>
      <c r="D29" s="480">
        <v>56212.570488384896</v>
      </c>
      <c r="E29" s="481">
        <v>1813.7750000000001</v>
      </c>
      <c r="F29" s="480">
        <v>54398.795488384894</v>
      </c>
      <c r="G29" s="481">
        <v>7989.0212540933571</v>
      </c>
      <c r="H29" s="482">
        <v>7989.0212540933571</v>
      </c>
      <c r="I29" s="476">
        <f t="shared" si="0"/>
        <v>0</v>
      </c>
      <c r="J29" s="476"/>
      <c r="K29" s="477">
        <f>G29</f>
        <v>7989.0212540933571</v>
      </c>
      <c r="L29" s="551">
        <f t="shared" ref="L29" si="10">IF(K29&lt;&gt;0,+G29-K29,0)</f>
        <v>0</v>
      </c>
      <c r="M29" s="477">
        <f>H29</f>
        <v>7989.0212540933571</v>
      </c>
      <c r="N29" s="479">
        <f t="shared" ref="N29" si="11">IF(M29&lt;&gt;0,+H29-M29,0)</f>
        <v>0</v>
      </c>
      <c r="O29" s="479">
        <f t="shared" si="3"/>
        <v>0</v>
      </c>
      <c r="P29" s="243"/>
    </row>
    <row r="30" spans="2:16" ht="12.5">
      <c r="B30" s="160" t="str">
        <f t="shared" si="4"/>
        <v/>
      </c>
      <c r="C30" s="473">
        <f>IF(D11="","-",+C29+1)</f>
        <v>2020</v>
      </c>
      <c r="D30" s="486">
        <f>IF(F29+SUM(E$17:E29)=D$10,F29,D$10-SUM(E$17:E29))</f>
        <v>54398.795488384894</v>
      </c>
      <c r="E30" s="485">
        <f>IF(+I14&lt;F29,I14,D30)</f>
        <v>1612.2444444444445</v>
      </c>
      <c r="F30" s="486">
        <f t="shared" ref="F30:F48" si="12">+D30-E30</f>
        <v>52786.551043940446</v>
      </c>
      <c r="G30" s="487">
        <f t="shared" ref="G30:G72" si="13">+I$12*F30+E30</f>
        <v>8756.1339794623345</v>
      </c>
      <c r="H30" s="456">
        <f t="shared" ref="H30:H72" si="14">+I$13*F30+E30</f>
        <v>8756.1339794623345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4"/>
        <v/>
      </c>
      <c r="C31" s="473">
        <f>IF(D11="","-",+C30+1)</f>
        <v>2021</v>
      </c>
      <c r="D31" s="486">
        <f>IF(F30+SUM(E$17:E30)=D$10,F30,D$10-SUM(E$17:E30))</f>
        <v>52786.551043940446</v>
      </c>
      <c r="E31" s="485">
        <f>IF(+I14&lt;F30,I14,D31)</f>
        <v>1612.2444444444445</v>
      </c>
      <c r="F31" s="486">
        <f t="shared" si="12"/>
        <v>51174.306599496005</v>
      </c>
      <c r="G31" s="487">
        <f t="shared" si="13"/>
        <v>8537.9402163394152</v>
      </c>
      <c r="H31" s="456">
        <f t="shared" si="14"/>
        <v>8537.9402163394152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4"/>
        <v/>
      </c>
      <c r="C32" s="473">
        <f>IF(D11="","-",+C31+1)</f>
        <v>2022</v>
      </c>
      <c r="D32" s="486">
        <f>IF(F31+SUM(E$17:E31)=D$10,F31,D$10-SUM(E$17:E31))</f>
        <v>51174.306599496005</v>
      </c>
      <c r="E32" s="485">
        <f>IF(+I14&lt;F31,I14,D32)</f>
        <v>1612.2444444444445</v>
      </c>
      <c r="F32" s="486">
        <f t="shared" si="12"/>
        <v>49562.062155051564</v>
      </c>
      <c r="G32" s="487">
        <f t="shared" si="13"/>
        <v>8319.7464532164959</v>
      </c>
      <c r="H32" s="456">
        <f t="shared" si="14"/>
        <v>8319.7464532164959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4"/>
        <v/>
      </c>
      <c r="C33" s="473">
        <f>IF(D11="","-",+C32+1)</f>
        <v>2023</v>
      </c>
      <c r="D33" s="486">
        <f>IF(F32+SUM(E$17:E32)=D$10,F32,D$10-SUM(E$17:E32))</f>
        <v>49562.062155051564</v>
      </c>
      <c r="E33" s="485">
        <f>IF(+I14&lt;F32,I14,D33)</f>
        <v>1612.2444444444445</v>
      </c>
      <c r="F33" s="486">
        <f t="shared" si="12"/>
        <v>47949.817710607123</v>
      </c>
      <c r="G33" s="487">
        <f t="shared" si="13"/>
        <v>8101.5526900935793</v>
      </c>
      <c r="H33" s="456">
        <f t="shared" si="14"/>
        <v>8101.5526900935793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4"/>
        <v/>
      </c>
      <c r="C34" s="473">
        <f>IF(D11="","-",+C33+1)</f>
        <v>2024</v>
      </c>
      <c r="D34" s="486">
        <f>IF(F33+SUM(E$17:E33)=D$10,F33,D$10-SUM(E$17:E33))</f>
        <v>47949.817710607123</v>
      </c>
      <c r="E34" s="485">
        <f>IF(+I14&lt;F33,I14,D34)</f>
        <v>1612.2444444444445</v>
      </c>
      <c r="F34" s="486">
        <f t="shared" si="12"/>
        <v>46337.573266162683</v>
      </c>
      <c r="G34" s="487">
        <f t="shared" si="13"/>
        <v>7883.3589269706608</v>
      </c>
      <c r="H34" s="456">
        <f t="shared" si="14"/>
        <v>7883.3589269706608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4"/>
        <v/>
      </c>
      <c r="C35" s="473">
        <f>IF(D11="","-",+C34+1)</f>
        <v>2025</v>
      </c>
      <c r="D35" s="486">
        <f>IF(F34+SUM(E$17:E34)=D$10,F34,D$10-SUM(E$17:E34))</f>
        <v>46337.573266162683</v>
      </c>
      <c r="E35" s="485">
        <f>IF(+I14&lt;F34,I14,D35)</f>
        <v>1612.2444444444445</v>
      </c>
      <c r="F35" s="486">
        <f t="shared" si="12"/>
        <v>44725.328821718242</v>
      </c>
      <c r="G35" s="487">
        <f t="shared" si="13"/>
        <v>7665.1651638477424</v>
      </c>
      <c r="H35" s="456">
        <f t="shared" si="14"/>
        <v>7665.1651638477424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4"/>
        <v/>
      </c>
      <c r="C36" s="473">
        <f>IF(D11="","-",+C35+1)</f>
        <v>2026</v>
      </c>
      <c r="D36" s="486">
        <f>IF(F35+SUM(E$17:E35)=D$10,F35,D$10-SUM(E$17:E35))</f>
        <v>44725.328821718242</v>
      </c>
      <c r="E36" s="485">
        <f>IF(+I14&lt;F35,I14,D36)</f>
        <v>1612.2444444444445</v>
      </c>
      <c r="F36" s="486">
        <f t="shared" si="12"/>
        <v>43113.084377273801</v>
      </c>
      <c r="G36" s="487">
        <f t="shared" si="13"/>
        <v>7446.971400724824</v>
      </c>
      <c r="H36" s="456">
        <f t="shared" si="14"/>
        <v>7446.971400724824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4"/>
        <v/>
      </c>
      <c r="C37" s="473">
        <f>IF(D11="","-",+C36+1)</f>
        <v>2027</v>
      </c>
      <c r="D37" s="486">
        <f>IF(F36+SUM(E$17:E36)=D$10,F36,D$10-SUM(E$17:E36))</f>
        <v>43113.084377273801</v>
      </c>
      <c r="E37" s="485">
        <f>IF(+I14&lt;F36,I14,D37)</f>
        <v>1612.2444444444445</v>
      </c>
      <c r="F37" s="486">
        <f t="shared" si="12"/>
        <v>41500.83993282936</v>
      </c>
      <c r="G37" s="487">
        <f t="shared" si="13"/>
        <v>7228.7776376019065</v>
      </c>
      <c r="H37" s="456">
        <f t="shared" si="14"/>
        <v>7228.7776376019065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4"/>
        <v/>
      </c>
      <c r="C38" s="473">
        <f>IF(D11="","-",+C37+1)</f>
        <v>2028</v>
      </c>
      <c r="D38" s="486">
        <f>IF(F37+SUM(E$17:E37)=D$10,F37,D$10-SUM(E$17:E37))</f>
        <v>41500.83993282936</v>
      </c>
      <c r="E38" s="485">
        <f>IF(+I14&lt;F37,I14,D38)</f>
        <v>1612.2444444444445</v>
      </c>
      <c r="F38" s="486">
        <f t="shared" si="12"/>
        <v>39888.595488384919</v>
      </c>
      <c r="G38" s="487">
        <f t="shared" si="13"/>
        <v>7010.583874478988</v>
      </c>
      <c r="H38" s="456">
        <f t="shared" si="14"/>
        <v>7010.583874478988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4"/>
        <v/>
      </c>
      <c r="C39" s="473">
        <f>IF(D11="","-",+C38+1)</f>
        <v>2029</v>
      </c>
      <c r="D39" s="486">
        <f>IF(F38+SUM(E$17:E38)=D$10,F38,D$10-SUM(E$17:E38))</f>
        <v>39888.595488384868</v>
      </c>
      <c r="E39" s="485">
        <f>IF(+I14&lt;F38,I14,D39)</f>
        <v>1612.2444444444445</v>
      </c>
      <c r="F39" s="486">
        <f t="shared" si="12"/>
        <v>38276.35104394042</v>
      </c>
      <c r="G39" s="487">
        <f t="shared" si="13"/>
        <v>6792.3901113560623</v>
      </c>
      <c r="H39" s="456">
        <f t="shared" si="14"/>
        <v>6792.3901113560623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4"/>
        <v/>
      </c>
      <c r="C40" s="473">
        <f>IF(D11="","-",+C39+1)</f>
        <v>2030</v>
      </c>
      <c r="D40" s="486">
        <f>IF(F39+SUM(E$17:E39)=D$10,F39,D$10-SUM(E$17:E39))</f>
        <v>38276.35104394042</v>
      </c>
      <c r="E40" s="485">
        <f>IF(+I14&lt;F39,I14,D40)</f>
        <v>1612.2444444444445</v>
      </c>
      <c r="F40" s="486">
        <f t="shared" si="12"/>
        <v>36664.106599495979</v>
      </c>
      <c r="G40" s="487">
        <f t="shared" si="13"/>
        <v>6574.1963482331439</v>
      </c>
      <c r="H40" s="456">
        <f t="shared" si="14"/>
        <v>6574.1963482331439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4"/>
        <v/>
      </c>
      <c r="C41" s="473">
        <f>IF(D11="","-",+C40+1)</f>
        <v>2031</v>
      </c>
      <c r="D41" s="486">
        <f>IF(F40+SUM(E$17:E40)=D$10,F40,D$10-SUM(E$17:E40))</f>
        <v>36664.106599495979</v>
      </c>
      <c r="E41" s="485">
        <f>IF(+I14&lt;F40,I14,D41)</f>
        <v>1612.2444444444445</v>
      </c>
      <c r="F41" s="486">
        <f t="shared" si="12"/>
        <v>35051.862155051538</v>
      </c>
      <c r="G41" s="487">
        <f t="shared" si="13"/>
        <v>6356.0025851102255</v>
      </c>
      <c r="H41" s="456">
        <f t="shared" si="14"/>
        <v>6356.0025851102255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4"/>
        <v/>
      </c>
      <c r="C42" s="473">
        <f>IF(D11="","-",+C41+1)</f>
        <v>2032</v>
      </c>
      <c r="D42" s="486">
        <f>IF(F41+SUM(E$17:E41)=D$10,F41,D$10-SUM(E$17:E41))</f>
        <v>35051.862155051538</v>
      </c>
      <c r="E42" s="485">
        <f>IF(+I14&lt;F41,I14,D42)</f>
        <v>1612.2444444444445</v>
      </c>
      <c r="F42" s="486">
        <f t="shared" si="12"/>
        <v>33439.617710607097</v>
      </c>
      <c r="G42" s="487">
        <f t="shared" si="13"/>
        <v>6137.8088219873071</v>
      </c>
      <c r="H42" s="456">
        <f t="shared" si="14"/>
        <v>6137.8088219873071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4"/>
        <v/>
      </c>
      <c r="C43" s="473">
        <f>IF(D11="","-",+C42+1)</f>
        <v>2033</v>
      </c>
      <c r="D43" s="486">
        <f>IF(F42+SUM(E$17:E42)=D$10,F42,D$10-SUM(E$17:E42))</f>
        <v>33439.617710607097</v>
      </c>
      <c r="E43" s="485">
        <f>IF(+I14&lt;F42,I14,D43)</f>
        <v>1612.2444444444445</v>
      </c>
      <c r="F43" s="486">
        <f t="shared" si="12"/>
        <v>31827.373266162653</v>
      </c>
      <c r="G43" s="487">
        <f t="shared" si="13"/>
        <v>5919.6150588643886</v>
      </c>
      <c r="H43" s="456">
        <f t="shared" si="14"/>
        <v>5919.6150588643886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4"/>
        <v/>
      </c>
      <c r="C44" s="473">
        <f>IF(D11="","-",+C43+1)</f>
        <v>2034</v>
      </c>
      <c r="D44" s="486">
        <f>IF(F43+SUM(E$17:E43)=D$10,F43,D$10-SUM(E$17:E43))</f>
        <v>31827.373266162653</v>
      </c>
      <c r="E44" s="485">
        <f>IF(+I14&lt;F43,I14,D44)</f>
        <v>1612.2444444444445</v>
      </c>
      <c r="F44" s="486">
        <f t="shared" si="12"/>
        <v>30215.128821718208</v>
      </c>
      <c r="G44" s="487">
        <f t="shared" si="13"/>
        <v>5701.4212957414702</v>
      </c>
      <c r="H44" s="456">
        <f t="shared" si="14"/>
        <v>5701.4212957414702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4"/>
        <v/>
      </c>
      <c r="C45" s="473">
        <f>IF(D11="","-",+C44+1)</f>
        <v>2035</v>
      </c>
      <c r="D45" s="486">
        <f>IF(F44+SUM(E$17:E44)=D$10,F44,D$10-SUM(E$17:E44))</f>
        <v>30215.128821718208</v>
      </c>
      <c r="E45" s="485">
        <f>IF(+I14&lt;F44,I14,D45)</f>
        <v>1612.2444444444445</v>
      </c>
      <c r="F45" s="486">
        <f t="shared" si="12"/>
        <v>28602.884377273764</v>
      </c>
      <c r="G45" s="487">
        <f t="shared" si="13"/>
        <v>5483.2275326185518</v>
      </c>
      <c r="H45" s="456">
        <f t="shared" si="14"/>
        <v>5483.2275326185518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4"/>
        <v/>
      </c>
      <c r="C46" s="473">
        <f>IF(D11="","-",+C45+1)</f>
        <v>2036</v>
      </c>
      <c r="D46" s="486">
        <f>IF(F45+SUM(E$17:E45)=D$10,F45,D$10-SUM(E$17:E45))</f>
        <v>28602.884377273764</v>
      </c>
      <c r="E46" s="485">
        <f>IF(+I14&lt;F45,I14,D46)</f>
        <v>1612.2444444444445</v>
      </c>
      <c r="F46" s="486">
        <f t="shared" si="12"/>
        <v>26990.639932829319</v>
      </c>
      <c r="G46" s="487">
        <f t="shared" si="13"/>
        <v>5265.0337694956324</v>
      </c>
      <c r="H46" s="456">
        <f t="shared" si="14"/>
        <v>5265.0337694956324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4"/>
        <v/>
      </c>
      <c r="C47" s="473">
        <f>IF(D11="","-",+C46+1)</f>
        <v>2037</v>
      </c>
      <c r="D47" s="486">
        <f>IF(F46+SUM(E$17:E46)=D$10,F46,D$10-SUM(E$17:E46))</f>
        <v>26990.639932829319</v>
      </c>
      <c r="E47" s="485">
        <f>IF(+I14&lt;F46,I14,D47)</f>
        <v>1612.2444444444445</v>
      </c>
      <c r="F47" s="486">
        <f t="shared" si="12"/>
        <v>25378.395488384875</v>
      </c>
      <c r="G47" s="487">
        <f t="shared" si="13"/>
        <v>5046.840006372714</v>
      </c>
      <c r="H47" s="456">
        <f t="shared" si="14"/>
        <v>5046.840006372714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4"/>
        <v/>
      </c>
      <c r="C48" s="473">
        <f>IF(D11="","-",+C47+1)</f>
        <v>2038</v>
      </c>
      <c r="D48" s="486">
        <f>IF(F47+SUM(E$17:E47)=D$10,F47,D$10-SUM(E$17:E47))</f>
        <v>25378.395488384875</v>
      </c>
      <c r="E48" s="485">
        <f>IF(+I14&lt;F47,I14,D48)</f>
        <v>1612.2444444444445</v>
      </c>
      <c r="F48" s="486">
        <f t="shared" si="12"/>
        <v>23766.15104394043</v>
      </c>
      <c r="G48" s="487">
        <f t="shared" si="13"/>
        <v>4828.6462432497956</v>
      </c>
      <c r="H48" s="456">
        <f t="shared" si="14"/>
        <v>4828.6462432497956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4"/>
        <v/>
      </c>
      <c r="C49" s="473">
        <f>IF(D11="","-",+C48+1)</f>
        <v>2039</v>
      </c>
      <c r="D49" s="486">
        <f>IF(F48+SUM(E$17:E48)=D$10,F48,D$10-SUM(E$17:E48))</f>
        <v>23766.15104394043</v>
      </c>
      <c r="E49" s="485">
        <f>IF(+I14&lt;F48,I14,D49)</f>
        <v>1612.2444444444445</v>
      </c>
      <c r="F49" s="486">
        <f t="shared" ref="F49:F72" si="15">+D49-E49</f>
        <v>22153.906599495986</v>
      </c>
      <c r="G49" s="487">
        <f t="shared" si="13"/>
        <v>4610.4524801268763</v>
      </c>
      <c r="H49" s="456">
        <f t="shared" si="14"/>
        <v>4610.4524801268763</v>
      </c>
      <c r="I49" s="476">
        <f t="shared" ref="I49:I72" si="16">H49-G49</f>
        <v>0</v>
      </c>
      <c r="J49" s="476"/>
      <c r="K49" s="488"/>
      <c r="L49" s="479">
        <f t="shared" ref="L49:L72" si="17">IF(K49&lt;&gt;0,+G49-K49,0)</f>
        <v>0</v>
      </c>
      <c r="M49" s="488"/>
      <c r="N49" s="479">
        <f t="shared" ref="N49:N72" si="18">IF(M49&lt;&gt;0,+H49-M49,0)</f>
        <v>0</v>
      </c>
      <c r="O49" s="479">
        <f t="shared" ref="O49:O72" si="19">+N49-L49</f>
        <v>0</v>
      </c>
      <c r="P49" s="243"/>
    </row>
    <row r="50" spans="2:16" ht="12.5">
      <c r="B50" s="160" t="str">
        <f t="shared" si="4"/>
        <v/>
      </c>
      <c r="C50" s="473">
        <f>IF(D11="","-",+C49+1)</f>
        <v>2040</v>
      </c>
      <c r="D50" s="486">
        <f>IF(F49+SUM(E$17:E49)=D$10,F49,D$10-SUM(E$17:E49))</f>
        <v>22153.906599495986</v>
      </c>
      <c r="E50" s="485">
        <f>IF(+I14&lt;F49,I14,D50)</f>
        <v>1612.2444444444445</v>
      </c>
      <c r="F50" s="486">
        <f t="shared" si="15"/>
        <v>20541.662155051541</v>
      </c>
      <c r="G50" s="487">
        <f t="shared" si="13"/>
        <v>4392.2587170039578</v>
      </c>
      <c r="H50" s="456">
        <f t="shared" si="14"/>
        <v>4392.2587170039578</v>
      </c>
      <c r="I50" s="476">
        <f t="shared" si="16"/>
        <v>0</v>
      </c>
      <c r="J50" s="476"/>
      <c r="K50" s="488"/>
      <c r="L50" s="479">
        <f t="shared" si="17"/>
        <v>0</v>
      </c>
      <c r="M50" s="488"/>
      <c r="N50" s="479">
        <f t="shared" si="18"/>
        <v>0</v>
      </c>
      <c r="O50" s="479">
        <f t="shared" si="19"/>
        <v>0</v>
      </c>
      <c r="P50" s="243"/>
    </row>
    <row r="51" spans="2:16" ht="12.5">
      <c r="B51" s="160" t="str">
        <f t="shared" si="4"/>
        <v/>
      </c>
      <c r="C51" s="473">
        <f>IF(D11="","-",+C50+1)</f>
        <v>2041</v>
      </c>
      <c r="D51" s="486">
        <f>IF(F50+SUM(E$17:E50)=D$10,F50,D$10-SUM(E$17:E50))</f>
        <v>20541.662155051541</v>
      </c>
      <c r="E51" s="485">
        <f>IF(+I14&lt;F50,I14,D51)</f>
        <v>1612.2444444444445</v>
      </c>
      <c r="F51" s="486">
        <f t="shared" si="15"/>
        <v>18929.417710607097</v>
      </c>
      <c r="G51" s="487">
        <f t="shared" si="13"/>
        <v>4174.0649538810394</v>
      </c>
      <c r="H51" s="456">
        <f t="shared" si="14"/>
        <v>4174.0649538810394</v>
      </c>
      <c r="I51" s="476">
        <f t="shared" si="16"/>
        <v>0</v>
      </c>
      <c r="J51" s="476"/>
      <c r="K51" s="488"/>
      <c r="L51" s="479">
        <f t="shared" si="17"/>
        <v>0</v>
      </c>
      <c r="M51" s="488"/>
      <c r="N51" s="479">
        <f t="shared" si="18"/>
        <v>0</v>
      </c>
      <c r="O51" s="479">
        <f t="shared" si="19"/>
        <v>0</v>
      </c>
      <c r="P51" s="243"/>
    </row>
    <row r="52" spans="2:16" ht="12.5">
      <c r="B52" s="160" t="str">
        <f t="shared" si="4"/>
        <v/>
      </c>
      <c r="C52" s="473">
        <f>IF(D11="","-",+C51+1)</f>
        <v>2042</v>
      </c>
      <c r="D52" s="486">
        <f>IF(F51+SUM(E$17:E51)=D$10,F51,D$10-SUM(E$17:E51))</f>
        <v>18929.417710607097</v>
      </c>
      <c r="E52" s="485">
        <f>IF(+I14&lt;F51,I14,D52)</f>
        <v>1612.2444444444445</v>
      </c>
      <c r="F52" s="486">
        <f t="shared" si="15"/>
        <v>17317.173266162652</v>
      </c>
      <c r="G52" s="487">
        <f t="shared" si="13"/>
        <v>3955.8711907581205</v>
      </c>
      <c r="H52" s="456">
        <f t="shared" si="14"/>
        <v>3955.8711907581205</v>
      </c>
      <c r="I52" s="476">
        <f t="shared" si="16"/>
        <v>0</v>
      </c>
      <c r="J52" s="476"/>
      <c r="K52" s="488"/>
      <c r="L52" s="479">
        <f t="shared" si="17"/>
        <v>0</v>
      </c>
      <c r="M52" s="488"/>
      <c r="N52" s="479">
        <f t="shared" si="18"/>
        <v>0</v>
      </c>
      <c r="O52" s="479">
        <f t="shared" si="19"/>
        <v>0</v>
      </c>
      <c r="P52" s="243"/>
    </row>
    <row r="53" spans="2:16" ht="12.5">
      <c r="B53" s="160" t="str">
        <f t="shared" si="4"/>
        <v/>
      </c>
      <c r="C53" s="473">
        <f>IF(D11="","-",+C52+1)</f>
        <v>2043</v>
      </c>
      <c r="D53" s="486">
        <f>IF(F52+SUM(E$17:E52)=D$10,F52,D$10-SUM(E$17:E52))</f>
        <v>17317.173266162652</v>
      </c>
      <c r="E53" s="485">
        <f>IF(+I14&lt;F52,I14,D53)</f>
        <v>1612.2444444444445</v>
      </c>
      <c r="F53" s="486">
        <f t="shared" si="15"/>
        <v>15704.928821718207</v>
      </c>
      <c r="G53" s="487">
        <f t="shared" si="13"/>
        <v>3737.6774276352016</v>
      </c>
      <c r="H53" s="456">
        <f t="shared" si="14"/>
        <v>3737.6774276352016</v>
      </c>
      <c r="I53" s="476">
        <f t="shared" si="16"/>
        <v>0</v>
      </c>
      <c r="J53" s="476"/>
      <c r="K53" s="488"/>
      <c r="L53" s="479">
        <f t="shared" si="17"/>
        <v>0</v>
      </c>
      <c r="M53" s="488"/>
      <c r="N53" s="479">
        <f t="shared" si="18"/>
        <v>0</v>
      </c>
      <c r="O53" s="479">
        <f t="shared" si="19"/>
        <v>0</v>
      </c>
      <c r="P53" s="243"/>
    </row>
    <row r="54" spans="2:16" ht="12.5">
      <c r="B54" s="160" t="str">
        <f t="shared" si="4"/>
        <v/>
      </c>
      <c r="C54" s="473">
        <f>IF(D11="","-",+C53+1)</f>
        <v>2044</v>
      </c>
      <c r="D54" s="486">
        <f>IF(F53+SUM(E$17:E53)=D$10,F53,D$10-SUM(E$17:E53))</f>
        <v>15704.928821718207</v>
      </c>
      <c r="E54" s="485">
        <f>IF(+I14&lt;F53,I14,D54)</f>
        <v>1612.2444444444445</v>
      </c>
      <c r="F54" s="486">
        <f t="shared" si="15"/>
        <v>14092.684377273763</v>
      </c>
      <c r="G54" s="487">
        <f t="shared" si="13"/>
        <v>3519.4836645122832</v>
      </c>
      <c r="H54" s="456">
        <f t="shared" si="14"/>
        <v>3519.4836645122832</v>
      </c>
      <c r="I54" s="476">
        <f t="shared" si="16"/>
        <v>0</v>
      </c>
      <c r="J54" s="476"/>
      <c r="K54" s="488"/>
      <c r="L54" s="479">
        <f t="shared" si="17"/>
        <v>0</v>
      </c>
      <c r="M54" s="488"/>
      <c r="N54" s="479">
        <f t="shared" si="18"/>
        <v>0</v>
      </c>
      <c r="O54" s="479">
        <f t="shared" si="19"/>
        <v>0</v>
      </c>
      <c r="P54" s="243"/>
    </row>
    <row r="55" spans="2:16" ht="12.5">
      <c r="B55" s="160" t="str">
        <f t="shared" si="4"/>
        <v/>
      </c>
      <c r="C55" s="473">
        <f>IF(D11="","-",+C54+1)</f>
        <v>2045</v>
      </c>
      <c r="D55" s="486">
        <f>IF(F54+SUM(E$17:E54)=D$10,F54,D$10-SUM(E$17:E54))</f>
        <v>14092.684377273763</v>
      </c>
      <c r="E55" s="485">
        <f>IF(+I14&lt;F54,I14,D55)</f>
        <v>1612.2444444444445</v>
      </c>
      <c r="F55" s="486">
        <f t="shared" si="15"/>
        <v>12480.439932829318</v>
      </c>
      <c r="G55" s="487">
        <f t="shared" si="13"/>
        <v>3301.2899013893648</v>
      </c>
      <c r="H55" s="456">
        <f t="shared" si="14"/>
        <v>3301.2899013893648</v>
      </c>
      <c r="I55" s="476">
        <f t="shared" si="16"/>
        <v>0</v>
      </c>
      <c r="J55" s="476"/>
      <c r="K55" s="488"/>
      <c r="L55" s="479">
        <f t="shared" si="17"/>
        <v>0</v>
      </c>
      <c r="M55" s="488"/>
      <c r="N55" s="479">
        <f t="shared" si="18"/>
        <v>0</v>
      </c>
      <c r="O55" s="479">
        <f t="shared" si="19"/>
        <v>0</v>
      </c>
      <c r="P55" s="243"/>
    </row>
    <row r="56" spans="2:16" ht="12.5">
      <c r="B56" s="160" t="str">
        <f t="shared" si="4"/>
        <v/>
      </c>
      <c r="C56" s="473">
        <f>IF(D11="","-",+C55+1)</f>
        <v>2046</v>
      </c>
      <c r="D56" s="486">
        <f>IF(F55+SUM(E$17:E55)=D$10,F55,D$10-SUM(E$17:E55))</f>
        <v>12480.439932829318</v>
      </c>
      <c r="E56" s="485">
        <f>IF(+I14&lt;F55,I14,D56)</f>
        <v>1612.2444444444445</v>
      </c>
      <c r="F56" s="486">
        <f t="shared" si="15"/>
        <v>10868.195488384874</v>
      </c>
      <c r="G56" s="487">
        <f t="shared" si="13"/>
        <v>3083.0961382664459</v>
      </c>
      <c r="H56" s="456">
        <f t="shared" si="14"/>
        <v>3083.0961382664459</v>
      </c>
      <c r="I56" s="476">
        <f t="shared" si="16"/>
        <v>0</v>
      </c>
      <c r="J56" s="476"/>
      <c r="K56" s="488"/>
      <c r="L56" s="479">
        <f t="shared" si="17"/>
        <v>0</v>
      </c>
      <c r="M56" s="488"/>
      <c r="N56" s="479">
        <f t="shared" si="18"/>
        <v>0</v>
      </c>
      <c r="O56" s="479">
        <f t="shared" si="19"/>
        <v>0</v>
      </c>
      <c r="P56" s="243"/>
    </row>
    <row r="57" spans="2:16" ht="12.5">
      <c r="B57" s="160" t="str">
        <f t="shared" si="4"/>
        <v/>
      </c>
      <c r="C57" s="473">
        <f>IF(D11="","-",+C56+1)</f>
        <v>2047</v>
      </c>
      <c r="D57" s="486">
        <f>IF(F56+SUM(E$17:E56)=D$10,F56,D$10-SUM(E$17:E56))</f>
        <v>10868.195488384925</v>
      </c>
      <c r="E57" s="485">
        <f>IF(+I14&lt;F56,I14,D57)</f>
        <v>1612.2444444444445</v>
      </c>
      <c r="F57" s="486">
        <f t="shared" si="15"/>
        <v>9255.9510439404803</v>
      </c>
      <c r="G57" s="487">
        <f t="shared" si="13"/>
        <v>2864.9023751435343</v>
      </c>
      <c r="H57" s="456">
        <f t="shared" si="14"/>
        <v>2864.9023751435343</v>
      </c>
      <c r="I57" s="476">
        <f t="shared" si="16"/>
        <v>0</v>
      </c>
      <c r="J57" s="476"/>
      <c r="K57" s="488"/>
      <c r="L57" s="479">
        <f t="shared" si="17"/>
        <v>0</v>
      </c>
      <c r="M57" s="488"/>
      <c r="N57" s="479">
        <f t="shared" si="18"/>
        <v>0</v>
      </c>
      <c r="O57" s="479">
        <f t="shared" si="19"/>
        <v>0</v>
      </c>
      <c r="P57" s="243"/>
    </row>
    <row r="58" spans="2:16" ht="12.5">
      <c r="B58" s="160" t="str">
        <f t="shared" si="4"/>
        <v/>
      </c>
      <c r="C58" s="473">
        <f>IF(D11="","-",+C57+1)</f>
        <v>2048</v>
      </c>
      <c r="D58" s="486">
        <f>IF(F57+SUM(E$17:E57)=D$10,F57,D$10-SUM(E$17:E57))</f>
        <v>9255.9510439404803</v>
      </c>
      <c r="E58" s="485">
        <f>IF(+I14&lt;F57,I14,D58)</f>
        <v>1612.2444444444445</v>
      </c>
      <c r="F58" s="486">
        <f t="shared" si="15"/>
        <v>7643.7065994960358</v>
      </c>
      <c r="G58" s="487">
        <f t="shared" si="13"/>
        <v>2646.7086120206154</v>
      </c>
      <c r="H58" s="456">
        <f t="shared" si="14"/>
        <v>2646.7086120206154</v>
      </c>
      <c r="I58" s="476">
        <f t="shared" si="16"/>
        <v>0</v>
      </c>
      <c r="J58" s="476"/>
      <c r="K58" s="488"/>
      <c r="L58" s="479">
        <f t="shared" si="17"/>
        <v>0</v>
      </c>
      <c r="M58" s="488"/>
      <c r="N58" s="479">
        <f t="shared" si="18"/>
        <v>0</v>
      </c>
      <c r="O58" s="479">
        <f t="shared" si="19"/>
        <v>0</v>
      </c>
      <c r="P58" s="243"/>
    </row>
    <row r="59" spans="2:16" ht="12.5">
      <c r="B59" s="160" t="str">
        <f t="shared" si="4"/>
        <v/>
      </c>
      <c r="C59" s="473">
        <f>IF(D11="","-",+C58+1)</f>
        <v>2049</v>
      </c>
      <c r="D59" s="486">
        <f>IF(F58+SUM(E$17:E58)=D$10,F58,D$10-SUM(E$17:E58))</f>
        <v>7643.7065994960358</v>
      </c>
      <c r="E59" s="485">
        <f>IF(+I14&lt;F58,I14,D59)</f>
        <v>1612.2444444444445</v>
      </c>
      <c r="F59" s="486">
        <f t="shared" si="15"/>
        <v>6031.4621550515913</v>
      </c>
      <c r="G59" s="487">
        <f t="shared" si="13"/>
        <v>2428.5148488976965</v>
      </c>
      <c r="H59" s="456">
        <f t="shared" si="14"/>
        <v>2428.5148488976965</v>
      </c>
      <c r="I59" s="476">
        <f t="shared" si="16"/>
        <v>0</v>
      </c>
      <c r="J59" s="476"/>
      <c r="K59" s="488"/>
      <c r="L59" s="479">
        <f t="shared" si="17"/>
        <v>0</v>
      </c>
      <c r="M59" s="488"/>
      <c r="N59" s="479">
        <f t="shared" si="18"/>
        <v>0</v>
      </c>
      <c r="O59" s="479">
        <f t="shared" si="19"/>
        <v>0</v>
      </c>
      <c r="P59" s="243"/>
    </row>
    <row r="60" spans="2:16" ht="12.5">
      <c r="B60" s="160" t="str">
        <f t="shared" si="4"/>
        <v/>
      </c>
      <c r="C60" s="473">
        <f>IF(D11="","-",+C59+1)</f>
        <v>2050</v>
      </c>
      <c r="D60" s="486">
        <f>IF(F59+SUM(E$17:E59)=D$10,F59,D$10-SUM(E$17:E59))</f>
        <v>6031.4621550515913</v>
      </c>
      <c r="E60" s="485">
        <f>IF(+I14&lt;F59,I14,D60)</f>
        <v>1612.2444444444445</v>
      </c>
      <c r="F60" s="486">
        <f t="shared" si="15"/>
        <v>4419.2177106071467</v>
      </c>
      <c r="G60" s="487">
        <f t="shared" si="13"/>
        <v>2210.3210857747781</v>
      </c>
      <c r="H60" s="456">
        <f t="shared" si="14"/>
        <v>2210.3210857747781</v>
      </c>
      <c r="I60" s="476">
        <f t="shared" si="16"/>
        <v>0</v>
      </c>
      <c r="J60" s="476"/>
      <c r="K60" s="488"/>
      <c r="L60" s="479">
        <f t="shared" si="17"/>
        <v>0</v>
      </c>
      <c r="M60" s="488"/>
      <c r="N60" s="479">
        <f t="shared" si="18"/>
        <v>0</v>
      </c>
      <c r="O60" s="479">
        <f t="shared" si="19"/>
        <v>0</v>
      </c>
      <c r="P60" s="243"/>
    </row>
    <row r="61" spans="2:16" ht="12.5">
      <c r="B61" s="160" t="str">
        <f t="shared" si="4"/>
        <v/>
      </c>
      <c r="C61" s="473">
        <f>IF(D11="","-",+C60+1)</f>
        <v>2051</v>
      </c>
      <c r="D61" s="486">
        <f>IF(F60+SUM(E$17:E60)=D$10,F60,D$10-SUM(E$17:E60))</f>
        <v>4419.2177106071467</v>
      </c>
      <c r="E61" s="485">
        <f>IF(+I14&lt;F60,I14,D61)</f>
        <v>1612.2444444444445</v>
      </c>
      <c r="F61" s="486">
        <f t="shared" si="15"/>
        <v>2806.9732661627022</v>
      </c>
      <c r="G61" s="489">
        <f t="shared" si="13"/>
        <v>1992.1273226518592</v>
      </c>
      <c r="H61" s="456">
        <f t="shared" si="14"/>
        <v>1992.1273226518592</v>
      </c>
      <c r="I61" s="476">
        <f t="shared" si="16"/>
        <v>0</v>
      </c>
      <c r="J61" s="476"/>
      <c r="K61" s="488"/>
      <c r="L61" s="479">
        <f t="shared" si="17"/>
        <v>0</v>
      </c>
      <c r="M61" s="488"/>
      <c r="N61" s="479">
        <f t="shared" si="18"/>
        <v>0</v>
      </c>
      <c r="O61" s="479">
        <f t="shared" si="19"/>
        <v>0</v>
      </c>
      <c r="P61" s="243"/>
    </row>
    <row r="62" spans="2:16" ht="12.5">
      <c r="B62" s="160" t="str">
        <f t="shared" si="4"/>
        <v/>
      </c>
      <c r="C62" s="473">
        <f>IF(D11="","-",+C61+1)</f>
        <v>2052</v>
      </c>
      <c r="D62" s="486">
        <f>IF(F61+SUM(E$17:E61)=D$10,F61,D$10-SUM(E$17:E61))</f>
        <v>2806.9732661627022</v>
      </c>
      <c r="E62" s="485">
        <f>IF(+I14&lt;F61,I14,D62)</f>
        <v>1612.2444444444445</v>
      </c>
      <c r="F62" s="486">
        <f t="shared" si="15"/>
        <v>1194.7288217182577</v>
      </c>
      <c r="G62" s="489">
        <f t="shared" si="13"/>
        <v>1773.9335595289406</v>
      </c>
      <c r="H62" s="456">
        <f t="shared" si="14"/>
        <v>1773.9335595289406</v>
      </c>
      <c r="I62" s="476">
        <f t="shared" si="16"/>
        <v>0</v>
      </c>
      <c r="J62" s="476"/>
      <c r="K62" s="488"/>
      <c r="L62" s="479">
        <f t="shared" si="17"/>
        <v>0</v>
      </c>
      <c r="M62" s="488"/>
      <c r="N62" s="479">
        <f t="shared" si="18"/>
        <v>0</v>
      </c>
      <c r="O62" s="479">
        <f t="shared" si="19"/>
        <v>0</v>
      </c>
      <c r="P62" s="243"/>
    </row>
    <row r="63" spans="2:16" ht="12.5">
      <c r="B63" s="160" t="str">
        <f t="shared" si="4"/>
        <v/>
      </c>
      <c r="C63" s="473">
        <f>IF(D11="","-",+C62+1)</f>
        <v>2053</v>
      </c>
      <c r="D63" s="486">
        <f>IF(F62+SUM(E$17:E62)=D$10,F62,D$10-SUM(E$17:E62))</f>
        <v>1194.7288217182577</v>
      </c>
      <c r="E63" s="485">
        <f>IF(+I14&lt;F62,I14,D63)</f>
        <v>1194.7288217182577</v>
      </c>
      <c r="F63" s="486">
        <f t="shared" si="15"/>
        <v>0</v>
      </c>
      <c r="G63" s="489">
        <f t="shared" si="13"/>
        <v>1194.7288217182577</v>
      </c>
      <c r="H63" s="456">
        <f t="shared" si="14"/>
        <v>1194.7288217182577</v>
      </c>
      <c r="I63" s="476">
        <f t="shared" si="16"/>
        <v>0</v>
      </c>
      <c r="J63" s="476"/>
      <c r="K63" s="488"/>
      <c r="L63" s="479">
        <f t="shared" si="17"/>
        <v>0</v>
      </c>
      <c r="M63" s="488"/>
      <c r="N63" s="479">
        <f t="shared" si="18"/>
        <v>0</v>
      </c>
      <c r="O63" s="479">
        <f t="shared" si="19"/>
        <v>0</v>
      </c>
      <c r="P63" s="243"/>
    </row>
    <row r="64" spans="2:16" ht="12.5">
      <c r="B64" s="160" t="str">
        <f t="shared" si="4"/>
        <v/>
      </c>
      <c r="C64" s="473">
        <f>IF(D11="","-",+C63+1)</f>
        <v>2054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5"/>
        <v>0</v>
      </c>
      <c r="G64" s="489">
        <f t="shared" si="13"/>
        <v>0</v>
      </c>
      <c r="H64" s="456">
        <f t="shared" si="14"/>
        <v>0</v>
      </c>
      <c r="I64" s="476">
        <f t="shared" si="16"/>
        <v>0</v>
      </c>
      <c r="J64" s="476"/>
      <c r="K64" s="488"/>
      <c r="L64" s="479">
        <f t="shared" si="17"/>
        <v>0</v>
      </c>
      <c r="M64" s="488"/>
      <c r="N64" s="479">
        <f t="shared" si="18"/>
        <v>0</v>
      </c>
      <c r="O64" s="479">
        <f t="shared" si="19"/>
        <v>0</v>
      </c>
      <c r="P64" s="243"/>
    </row>
    <row r="65" spans="2:16" ht="12.5">
      <c r="B65" s="160" t="str">
        <f t="shared" si="4"/>
        <v/>
      </c>
      <c r="C65" s="473">
        <f>IF(D11="","-",+C64+1)</f>
        <v>2055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5"/>
        <v>0</v>
      </c>
      <c r="G65" s="489">
        <f t="shared" si="13"/>
        <v>0</v>
      </c>
      <c r="H65" s="456">
        <f t="shared" si="14"/>
        <v>0</v>
      </c>
      <c r="I65" s="476">
        <f t="shared" si="16"/>
        <v>0</v>
      </c>
      <c r="J65" s="476"/>
      <c r="K65" s="488"/>
      <c r="L65" s="479">
        <f t="shared" si="17"/>
        <v>0</v>
      </c>
      <c r="M65" s="488"/>
      <c r="N65" s="479">
        <f t="shared" si="18"/>
        <v>0</v>
      </c>
      <c r="O65" s="479">
        <f t="shared" si="19"/>
        <v>0</v>
      </c>
      <c r="P65" s="243"/>
    </row>
    <row r="66" spans="2:16" ht="12.5">
      <c r="B66" s="160" t="str">
        <f t="shared" si="4"/>
        <v/>
      </c>
      <c r="C66" s="473">
        <f>IF(D11="","-",+C65+1)</f>
        <v>2056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5"/>
        <v>0</v>
      </c>
      <c r="G66" s="489">
        <f t="shared" si="13"/>
        <v>0</v>
      </c>
      <c r="H66" s="456">
        <f t="shared" si="14"/>
        <v>0</v>
      </c>
      <c r="I66" s="476">
        <f t="shared" si="16"/>
        <v>0</v>
      </c>
      <c r="J66" s="476"/>
      <c r="K66" s="488"/>
      <c r="L66" s="479">
        <f t="shared" si="17"/>
        <v>0</v>
      </c>
      <c r="M66" s="488"/>
      <c r="N66" s="479">
        <f t="shared" si="18"/>
        <v>0</v>
      </c>
      <c r="O66" s="479">
        <f t="shared" si="19"/>
        <v>0</v>
      </c>
      <c r="P66" s="243"/>
    </row>
    <row r="67" spans="2:16" ht="12.5">
      <c r="B67" s="160" t="str">
        <f t="shared" si="4"/>
        <v/>
      </c>
      <c r="C67" s="473">
        <f>IF(D11="","-",+C66+1)</f>
        <v>2057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5"/>
        <v>0</v>
      </c>
      <c r="G67" s="489">
        <f t="shared" si="13"/>
        <v>0</v>
      </c>
      <c r="H67" s="456">
        <f t="shared" si="14"/>
        <v>0</v>
      </c>
      <c r="I67" s="476">
        <f t="shared" si="16"/>
        <v>0</v>
      </c>
      <c r="J67" s="476"/>
      <c r="K67" s="488"/>
      <c r="L67" s="479">
        <f t="shared" si="17"/>
        <v>0</v>
      </c>
      <c r="M67" s="488"/>
      <c r="N67" s="479">
        <f t="shared" si="18"/>
        <v>0</v>
      </c>
      <c r="O67" s="479">
        <f t="shared" si="19"/>
        <v>0</v>
      </c>
      <c r="P67" s="243"/>
    </row>
    <row r="68" spans="2:16" ht="12.5">
      <c r="B68" s="160" t="str">
        <f t="shared" si="4"/>
        <v/>
      </c>
      <c r="C68" s="473">
        <f>IF(D11="","-",+C67+1)</f>
        <v>2058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5"/>
        <v>0</v>
      </c>
      <c r="G68" s="489">
        <f t="shared" si="13"/>
        <v>0</v>
      </c>
      <c r="H68" s="456">
        <f t="shared" si="14"/>
        <v>0</v>
      </c>
      <c r="I68" s="476">
        <f t="shared" si="16"/>
        <v>0</v>
      </c>
      <c r="J68" s="476"/>
      <c r="K68" s="488"/>
      <c r="L68" s="479">
        <f t="shared" si="17"/>
        <v>0</v>
      </c>
      <c r="M68" s="488"/>
      <c r="N68" s="479">
        <f t="shared" si="18"/>
        <v>0</v>
      </c>
      <c r="O68" s="479">
        <f t="shared" si="19"/>
        <v>0</v>
      </c>
      <c r="P68" s="243"/>
    </row>
    <row r="69" spans="2:16" ht="12.5">
      <c r="B69" s="160" t="str">
        <f t="shared" si="4"/>
        <v/>
      </c>
      <c r="C69" s="473">
        <f>IF(D11="","-",+C68+1)</f>
        <v>2059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5"/>
        <v>0</v>
      </c>
      <c r="G69" s="489">
        <f t="shared" si="13"/>
        <v>0</v>
      </c>
      <c r="H69" s="456">
        <f t="shared" si="14"/>
        <v>0</v>
      </c>
      <c r="I69" s="476">
        <f t="shared" si="16"/>
        <v>0</v>
      </c>
      <c r="J69" s="476"/>
      <c r="K69" s="488"/>
      <c r="L69" s="479">
        <f t="shared" si="17"/>
        <v>0</v>
      </c>
      <c r="M69" s="488"/>
      <c r="N69" s="479">
        <f t="shared" si="18"/>
        <v>0</v>
      </c>
      <c r="O69" s="479">
        <f t="shared" si="19"/>
        <v>0</v>
      </c>
      <c r="P69" s="243"/>
    </row>
    <row r="70" spans="2:16" ht="12.5">
      <c r="B70" s="160" t="str">
        <f t="shared" si="4"/>
        <v/>
      </c>
      <c r="C70" s="473">
        <f>IF(D11="","-",+C69+1)</f>
        <v>2060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5"/>
        <v>0</v>
      </c>
      <c r="G70" s="489">
        <f t="shared" si="13"/>
        <v>0</v>
      </c>
      <c r="H70" s="456">
        <f t="shared" si="14"/>
        <v>0</v>
      </c>
      <c r="I70" s="476">
        <f t="shared" si="16"/>
        <v>0</v>
      </c>
      <c r="J70" s="476"/>
      <c r="K70" s="488"/>
      <c r="L70" s="479">
        <f t="shared" si="17"/>
        <v>0</v>
      </c>
      <c r="M70" s="488"/>
      <c r="N70" s="479">
        <f t="shared" si="18"/>
        <v>0</v>
      </c>
      <c r="O70" s="479">
        <f t="shared" si="19"/>
        <v>0</v>
      </c>
      <c r="P70" s="243"/>
    </row>
    <row r="71" spans="2:16" ht="12.5">
      <c r="B71" s="160" t="str">
        <f t="shared" si="4"/>
        <v/>
      </c>
      <c r="C71" s="473">
        <f>IF(D11="","-",+C70+1)</f>
        <v>2061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5"/>
        <v>0</v>
      </c>
      <c r="G71" s="489">
        <f t="shared" si="13"/>
        <v>0</v>
      </c>
      <c r="H71" s="456">
        <f t="shared" si="14"/>
        <v>0</v>
      </c>
      <c r="I71" s="476">
        <f t="shared" si="16"/>
        <v>0</v>
      </c>
      <c r="J71" s="476"/>
      <c r="K71" s="488"/>
      <c r="L71" s="479">
        <f t="shared" si="17"/>
        <v>0</v>
      </c>
      <c r="M71" s="488"/>
      <c r="N71" s="479">
        <f t="shared" si="18"/>
        <v>0</v>
      </c>
      <c r="O71" s="479">
        <f t="shared" si="19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2062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5"/>
        <v>0</v>
      </c>
      <c r="G72" s="493">
        <f t="shared" si="13"/>
        <v>0</v>
      </c>
      <c r="H72" s="436">
        <f t="shared" si="14"/>
        <v>0</v>
      </c>
      <c r="I72" s="494">
        <f t="shared" si="16"/>
        <v>0</v>
      </c>
      <c r="J72" s="476"/>
      <c r="K72" s="495"/>
      <c r="L72" s="496">
        <f t="shared" si="17"/>
        <v>0</v>
      </c>
      <c r="M72" s="495"/>
      <c r="N72" s="496">
        <f t="shared" si="18"/>
        <v>0</v>
      </c>
      <c r="O72" s="496">
        <f t="shared" si="19"/>
        <v>0</v>
      </c>
      <c r="P72" s="243"/>
    </row>
    <row r="73" spans="2:16" ht="12.5">
      <c r="C73" s="347" t="s">
        <v>77</v>
      </c>
      <c r="D73" s="348"/>
      <c r="E73" s="348">
        <f>SUM(E17:E72)</f>
        <v>72550.999999999971</v>
      </c>
      <c r="F73" s="348"/>
      <c r="G73" s="348">
        <f>SUM(G17:G72)</f>
        <v>306963.39647691557</v>
      </c>
      <c r="H73" s="348">
        <f>SUM(H17:H72)</f>
        <v>306963.39647691557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9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7989.0212540933571</v>
      </c>
      <c r="N87" s="509">
        <f>IF(J92&lt;D11,0,VLOOKUP(J92,C17:O72,11))</f>
        <v>7989.0212540933571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7519.8443223081076</v>
      </c>
      <c r="N88" s="513">
        <f>IF(J92&lt;D11,0,VLOOKUP(J92,C99:P154,7))</f>
        <v>7519.8443223081076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Tulsa Southeast Upgrade (repl switches)*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-469.17693178524951</v>
      </c>
      <c r="N89" s="518">
        <f>+N88-N87</f>
        <v>-469.17693178524951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TP2004033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72551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4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1770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2007</v>
      </c>
      <c r="D99" s="474">
        <v>0</v>
      </c>
      <c r="E99" s="481">
        <v>0</v>
      </c>
      <c r="F99" s="480">
        <v>72551</v>
      </c>
      <c r="G99" s="538">
        <v>36276</v>
      </c>
      <c r="H99" s="539">
        <v>5762</v>
      </c>
      <c r="I99" s="540">
        <v>5762</v>
      </c>
      <c r="J99" s="479">
        <f t="shared" ref="J99:J130" si="20">+I99-H99</f>
        <v>0</v>
      </c>
      <c r="K99" s="479"/>
      <c r="L99" s="555">
        <v>0</v>
      </c>
      <c r="M99" s="478">
        <f t="shared" ref="M99:M130" si="21">IF(L99&lt;&gt;0,+H99-L99,0)</f>
        <v>0</v>
      </c>
      <c r="N99" s="555">
        <v>0</v>
      </c>
      <c r="O99" s="478">
        <f t="shared" ref="O99:O130" si="22">IF(N99&lt;&gt;0,+I99-N99,0)</f>
        <v>0</v>
      </c>
      <c r="P99" s="478">
        <f t="shared" ref="P99:P130" si="23">+O99-M99</f>
        <v>0</v>
      </c>
    </row>
    <row r="100" spans="1:16" ht="12.5">
      <c r="B100" s="160" t="str">
        <f>IF(D100=F99,"","IU")</f>
        <v/>
      </c>
      <c r="C100" s="473">
        <f>IF(D93="","-",+C99+1)</f>
        <v>2008</v>
      </c>
      <c r="D100" s="474">
        <v>72551</v>
      </c>
      <c r="E100" s="562">
        <v>1369</v>
      </c>
      <c r="F100" s="480">
        <v>71182</v>
      </c>
      <c r="G100" s="480">
        <v>71867</v>
      </c>
      <c r="H100" s="481">
        <v>12785</v>
      </c>
      <c r="I100" s="482">
        <v>12785</v>
      </c>
      <c r="J100" s="479">
        <f t="shared" si="20"/>
        <v>0</v>
      </c>
      <c r="K100" s="479"/>
      <c r="L100" s="477">
        <v>12785</v>
      </c>
      <c r="M100" s="479">
        <f t="shared" si="21"/>
        <v>0</v>
      </c>
      <c r="N100" s="477">
        <v>12785</v>
      </c>
      <c r="O100" s="479">
        <f t="shared" si="22"/>
        <v>0</v>
      </c>
      <c r="P100" s="479">
        <f t="shared" si="23"/>
        <v>0</v>
      </c>
    </row>
    <row r="101" spans="1:16" ht="12.5">
      <c r="B101" s="160" t="str">
        <f t="shared" ref="B101:B154" si="24">IF(D101=F100,"","IU")</f>
        <v/>
      </c>
      <c r="C101" s="473">
        <f>IF(D93="","-",+C100+1)</f>
        <v>2009</v>
      </c>
      <c r="D101" s="474">
        <v>71182</v>
      </c>
      <c r="E101" s="481">
        <v>1296</v>
      </c>
      <c r="F101" s="480">
        <v>69886</v>
      </c>
      <c r="G101" s="480">
        <v>70534</v>
      </c>
      <c r="H101" s="481">
        <v>11608.65494705257</v>
      </c>
      <c r="I101" s="482">
        <v>11608.65494705257</v>
      </c>
      <c r="J101" s="479">
        <f t="shared" si="20"/>
        <v>0</v>
      </c>
      <c r="K101" s="479"/>
      <c r="L101" s="541">
        <f t="shared" ref="L101:L106" si="25">H101</f>
        <v>11608.65494705257</v>
      </c>
      <c r="M101" s="542">
        <f t="shared" si="21"/>
        <v>0</v>
      </c>
      <c r="N101" s="541">
        <f t="shared" ref="N101:N106" si="26">I101</f>
        <v>11608.65494705257</v>
      </c>
      <c r="O101" s="479">
        <f t="shared" si="22"/>
        <v>0</v>
      </c>
      <c r="P101" s="479">
        <f t="shared" si="23"/>
        <v>0</v>
      </c>
    </row>
    <row r="102" spans="1:16" ht="12.5">
      <c r="B102" s="160" t="str">
        <f t="shared" si="24"/>
        <v/>
      </c>
      <c r="C102" s="473">
        <f>IF(D93="","-",+C101+1)</f>
        <v>2010</v>
      </c>
      <c r="D102" s="474">
        <v>69886</v>
      </c>
      <c r="E102" s="481">
        <v>1423</v>
      </c>
      <c r="F102" s="480">
        <v>68463</v>
      </c>
      <c r="G102" s="480">
        <v>69174.5</v>
      </c>
      <c r="H102" s="481">
        <v>12547.312556925655</v>
      </c>
      <c r="I102" s="482">
        <v>12547.312556925655</v>
      </c>
      <c r="J102" s="479">
        <f t="shared" si="20"/>
        <v>0</v>
      </c>
      <c r="K102" s="479"/>
      <c r="L102" s="541">
        <f t="shared" si="25"/>
        <v>12547.312556925655</v>
      </c>
      <c r="M102" s="542">
        <f t="shared" si="21"/>
        <v>0</v>
      </c>
      <c r="N102" s="541">
        <f t="shared" si="26"/>
        <v>12547.312556925655</v>
      </c>
      <c r="O102" s="479">
        <f t="shared" si="22"/>
        <v>0</v>
      </c>
      <c r="P102" s="479">
        <f t="shared" si="23"/>
        <v>0</v>
      </c>
    </row>
    <row r="103" spans="1:16" ht="12.5">
      <c r="B103" s="160" t="str">
        <f t="shared" si="24"/>
        <v/>
      </c>
      <c r="C103" s="473">
        <f>IF(D93="","-",+C102+1)</f>
        <v>2011</v>
      </c>
      <c r="D103" s="474">
        <v>68463</v>
      </c>
      <c r="E103" s="481">
        <v>1395</v>
      </c>
      <c r="F103" s="480">
        <v>67068</v>
      </c>
      <c r="G103" s="480">
        <v>67765.5</v>
      </c>
      <c r="H103" s="481">
        <v>10869.52752826227</v>
      </c>
      <c r="I103" s="482">
        <v>10869.52752826227</v>
      </c>
      <c r="J103" s="479">
        <f t="shared" si="20"/>
        <v>0</v>
      </c>
      <c r="K103" s="479"/>
      <c r="L103" s="541">
        <f t="shared" si="25"/>
        <v>10869.52752826227</v>
      </c>
      <c r="M103" s="542">
        <f t="shared" si="21"/>
        <v>0</v>
      </c>
      <c r="N103" s="541">
        <f t="shared" si="26"/>
        <v>10869.52752826227</v>
      </c>
      <c r="O103" s="479">
        <f t="shared" si="22"/>
        <v>0</v>
      </c>
      <c r="P103" s="479">
        <f t="shared" si="23"/>
        <v>0</v>
      </c>
    </row>
    <row r="104" spans="1:16" ht="12.5">
      <c r="B104" s="160" t="str">
        <f t="shared" si="24"/>
        <v/>
      </c>
      <c r="C104" s="473">
        <f>IF(D93="","-",+C103+1)</f>
        <v>2012</v>
      </c>
      <c r="D104" s="474">
        <v>67068</v>
      </c>
      <c r="E104" s="481">
        <v>1395</v>
      </c>
      <c r="F104" s="480">
        <v>65673</v>
      </c>
      <c r="G104" s="480">
        <v>66370.5</v>
      </c>
      <c r="H104" s="481">
        <v>10942.760254640152</v>
      </c>
      <c r="I104" s="482">
        <v>10942.760254640152</v>
      </c>
      <c r="J104" s="479">
        <v>0</v>
      </c>
      <c r="K104" s="479"/>
      <c r="L104" s="541">
        <f t="shared" si="25"/>
        <v>10942.760254640152</v>
      </c>
      <c r="M104" s="542">
        <f t="shared" ref="M104:M109" si="27">IF(L104&lt;&gt;0,+H104-L104,0)</f>
        <v>0</v>
      </c>
      <c r="N104" s="541">
        <f t="shared" si="26"/>
        <v>10942.760254640152</v>
      </c>
      <c r="O104" s="479">
        <f t="shared" ref="O104:O109" si="28">IF(N104&lt;&gt;0,+I104-N104,0)</f>
        <v>0</v>
      </c>
      <c r="P104" s="479">
        <f t="shared" ref="P104:P109" si="29">+O104-M104</f>
        <v>0</v>
      </c>
    </row>
    <row r="105" spans="1:16" ht="12.5">
      <c r="B105" s="160" t="str">
        <f t="shared" si="24"/>
        <v/>
      </c>
      <c r="C105" s="473">
        <f>IF(D93="","-",+C104+1)</f>
        <v>2013</v>
      </c>
      <c r="D105" s="474">
        <v>65673</v>
      </c>
      <c r="E105" s="481">
        <v>1395</v>
      </c>
      <c r="F105" s="480">
        <v>64278</v>
      </c>
      <c r="G105" s="480">
        <v>64975.5</v>
      </c>
      <c r="H105" s="481">
        <v>10747.547086020993</v>
      </c>
      <c r="I105" s="482">
        <v>10747.547086020993</v>
      </c>
      <c r="J105" s="479">
        <v>0</v>
      </c>
      <c r="K105" s="479"/>
      <c r="L105" s="541">
        <f t="shared" si="25"/>
        <v>10747.547086020993</v>
      </c>
      <c r="M105" s="542">
        <f t="shared" si="27"/>
        <v>0</v>
      </c>
      <c r="N105" s="541">
        <f t="shared" si="26"/>
        <v>10747.547086020993</v>
      </c>
      <c r="O105" s="479">
        <f t="shared" si="28"/>
        <v>0</v>
      </c>
      <c r="P105" s="479">
        <f t="shared" si="29"/>
        <v>0</v>
      </c>
    </row>
    <row r="106" spans="1:16" ht="12.5">
      <c r="B106" s="160" t="str">
        <f t="shared" si="24"/>
        <v/>
      </c>
      <c r="C106" s="473">
        <f>IF(D93="","-",+C105+1)</f>
        <v>2014</v>
      </c>
      <c r="D106" s="474">
        <v>64278</v>
      </c>
      <c r="E106" s="481">
        <v>1395</v>
      </c>
      <c r="F106" s="480">
        <v>62883</v>
      </c>
      <c r="G106" s="480">
        <v>63580.5</v>
      </c>
      <c r="H106" s="481">
        <v>10334.158398344916</v>
      </c>
      <c r="I106" s="482">
        <v>10334.158398344916</v>
      </c>
      <c r="J106" s="479">
        <v>0</v>
      </c>
      <c r="K106" s="479"/>
      <c r="L106" s="541">
        <f t="shared" si="25"/>
        <v>10334.158398344916</v>
      </c>
      <c r="M106" s="542">
        <f t="shared" si="27"/>
        <v>0</v>
      </c>
      <c r="N106" s="541">
        <f t="shared" si="26"/>
        <v>10334.158398344916</v>
      </c>
      <c r="O106" s="479">
        <f t="shared" si="28"/>
        <v>0</v>
      </c>
      <c r="P106" s="479">
        <f t="shared" si="29"/>
        <v>0</v>
      </c>
    </row>
    <row r="107" spans="1:16" ht="12.5">
      <c r="B107" s="160" t="str">
        <f t="shared" si="24"/>
        <v/>
      </c>
      <c r="C107" s="473">
        <f>IF(D93="","-",+C106+1)</f>
        <v>2015</v>
      </c>
      <c r="D107" s="474">
        <v>62883</v>
      </c>
      <c r="E107" s="481">
        <v>1395</v>
      </c>
      <c r="F107" s="480">
        <v>61488</v>
      </c>
      <c r="G107" s="480">
        <v>62185.5</v>
      </c>
      <c r="H107" s="481">
        <v>9879.7114789405332</v>
      </c>
      <c r="I107" s="482">
        <v>9879.7114789405332</v>
      </c>
      <c r="J107" s="479">
        <f t="shared" si="20"/>
        <v>0</v>
      </c>
      <c r="K107" s="479"/>
      <c r="L107" s="541">
        <f>H107</f>
        <v>9879.7114789405332</v>
      </c>
      <c r="M107" s="542">
        <f t="shared" si="27"/>
        <v>0</v>
      </c>
      <c r="N107" s="541">
        <f>I107</f>
        <v>9879.7114789405332</v>
      </c>
      <c r="O107" s="479">
        <f t="shared" si="28"/>
        <v>0</v>
      </c>
      <c r="P107" s="479">
        <f t="shared" si="29"/>
        <v>0</v>
      </c>
    </row>
    <row r="108" spans="1:16" ht="12.5">
      <c r="B108" s="160" t="str">
        <f t="shared" si="24"/>
        <v/>
      </c>
      <c r="C108" s="473">
        <f>IF(D93="","-",+C107+1)</f>
        <v>2016</v>
      </c>
      <c r="D108" s="474">
        <v>61488</v>
      </c>
      <c r="E108" s="481">
        <v>1577</v>
      </c>
      <c r="F108" s="480">
        <v>59911</v>
      </c>
      <c r="G108" s="480">
        <v>60699.5</v>
      </c>
      <c r="H108" s="481">
        <v>9402.1214987986186</v>
      </c>
      <c r="I108" s="482">
        <v>9402.1214987986186</v>
      </c>
      <c r="J108" s="479">
        <f t="shared" si="20"/>
        <v>0</v>
      </c>
      <c r="K108" s="479"/>
      <c r="L108" s="541">
        <f>H108</f>
        <v>9402.1214987986186</v>
      </c>
      <c r="M108" s="542">
        <f t="shared" si="27"/>
        <v>0</v>
      </c>
      <c r="N108" s="541">
        <f>I108</f>
        <v>9402.1214987986186</v>
      </c>
      <c r="O108" s="479">
        <f t="shared" si="28"/>
        <v>0</v>
      </c>
      <c r="P108" s="479">
        <f t="shared" si="29"/>
        <v>0</v>
      </c>
    </row>
    <row r="109" spans="1:16" ht="12.5">
      <c r="B109" s="160" t="str">
        <f t="shared" si="24"/>
        <v/>
      </c>
      <c r="C109" s="473">
        <f>IF(D93="","-",+C108+1)</f>
        <v>2017</v>
      </c>
      <c r="D109" s="474">
        <v>59911</v>
      </c>
      <c r="E109" s="481">
        <v>1577</v>
      </c>
      <c r="F109" s="480">
        <v>58334</v>
      </c>
      <c r="G109" s="480">
        <v>59122.5</v>
      </c>
      <c r="H109" s="481">
        <v>9076.8382024367129</v>
      </c>
      <c r="I109" s="482">
        <v>9076.8382024367129</v>
      </c>
      <c r="J109" s="479">
        <f t="shared" si="20"/>
        <v>0</v>
      </c>
      <c r="K109" s="479"/>
      <c r="L109" s="541">
        <f>H109</f>
        <v>9076.8382024367129</v>
      </c>
      <c r="M109" s="542">
        <f t="shared" si="27"/>
        <v>0</v>
      </c>
      <c r="N109" s="541">
        <f>I109</f>
        <v>9076.8382024367129</v>
      </c>
      <c r="O109" s="479">
        <f t="shared" si="28"/>
        <v>0</v>
      </c>
      <c r="P109" s="479">
        <f t="shared" si="29"/>
        <v>0</v>
      </c>
    </row>
    <row r="110" spans="1:16" ht="12.5">
      <c r="B110" s="160" t="str">
        <f t="shared" si="24"/>
        <v/>
      </c>
      <c r="C110" s="473">
        <f>IF(D93="","-",+C109+1)</f>
        <v>2018</v>
      </c>
      <c r="D110" s="474">
        <v>58334</v>
      </c>
      <c r="E110" s="481">
        <v>1687</v>
      </c>
      <c r="F110" s="480">
        <v>56647</v>
      </c>
      <c r="G110" s="480">
        <v>57490.5</v>
      </c>
      <c r="H110" s="481">
        <v>7593.3191046629281</v>
      </c>
      <c r="I110" s="482">
        <v>7593.3191046629281</v>
      </c>
      <c r="J110" s="479">
        <f t="shared" si="20"/>
        <v>0</v>
      </c>
      <c r="K110" s="479"/>
      <c r="L110" s="541">
        <f>H110</f>
        <v>7593.3191046629281</v>
      </c>
      <c r="M110" s="542">
        <f t="shared" ref="M110" si="30">IF(L110&lt;&gt;0,+H110-L110,0)</f>
        <v>0</v>
      </c>
      <c r="N110" s="541">
        <f>I110</f>
        <v>7593.3191046629281</v>
      </c>
      <c r="O110" s="479">
        <f t="shared" ref="O110" si="31">IF(N110&lt;&gt;0,+I110-N110,0)</f>
        <v>0</v>
      </c>
      <c r="P110" s="479">
        <f t="shared" ref="P110" si="32">+O110-M110</f>
        <v>0</v>
      </c>
    </row>
    <row r="111" spans="1:16" ht="12.5">
      <c r="B111" s="160" t="str">
        <f t="shared" si="24"/>
        <v/>
      </c>
      <c r="C111" s="473">
        <f>IF(D93="","-",+C110+1)</f>
        <v>2019</v>
      </c>
      <c r="D111" s="347">
        <f>IF(F110+SUM(E$99:E110)=D$92,F110,D$92-SUM(E$99:E110))</f>
        <v>56647</v>
      </c>
      <c r="E111" s="487">
        <f>IF(+J96&lt;F110,J96,D111)</f>
        <v>1770</v>
      </c>
      <c r="F111" s="486">
        <f t="shared" ref="F111:F154" si="33">+D111-E111</f>
        <v>54877</v>
      </c>
      <c r="G111" s="486">
        <f t="shared" ref="G111:G154" si="34">+(F111+D111)/2</f>
        <v>55762</v>
      </c>
      <c r="H111" s="489">
        <f t="shared" ref="H111:H154" si="35">+J$94*G111+E111</f>
        <v>7519.8443223081076</v>
      </c>
      <c r="I111" s="543">
        <f t="shared" ref="I111:I154" si="36">+J$95*G111+E111</f>
        <v>7519.8443223081076</v>
      </c>
      <c r="J111" s="479">
        <f t="shared" si="20"/>
        <v>0</v>
      </c>
      <c r="K111" s="479"/>
      <c r="L111" s="488"/>
      <c r="M111" s="479">
        <f t="shared" si="21"/>
        <v>0</v>
      </c>
      <c r="N111" s="488"/>
      <c r="O111" s="479">
        <f t="shared" si="22"/>
        <v>0</v>
      </c>
      <c r="P111" s="479">
        <f t="shared" si="23"/>
        <v>0</v>
      </c>
    </row>
    <row r="112" spans="1:16" ht="12.5">
      <c r="B112" s="160" t="str">
        <f t="shared" si="24"/>
        <v/>
      </c>
      <c r="C112" s="473">
        <f>IF(D93="","-",+C111+1)</f>
        <v>2020</v>
      </c>
      <c r="D112" s="347">
        <f>IF(F111+SUM(E$99:E111)=D$92,F111,D$92-SUM(E$99:E111))</f>
        <v>54877</v>
      </c>
      <c r="E112" s="487">
        <f>IF(+J96&lt;F111,J96,D112)</f>
        <v>1770</v>
      </c>
      <c r="F112" s="486">
        <f t="shared" si="33"/>
        <v>53107</v>
      </c>
      <c r="G112" s="486">
        <f t="shared" si="34"/>
        <v>53992</v>
      </c>
      <c r="H112" s="489">
        <f t="shared" si="35"/>
        <v>7337.3324961453918</v>
      </c>
      <c r="I112" s="543">
        <f t="shared" si="36"/>
        <v>7337.3324961453918</v>
      </c>
      <c r="J112" s="479">
        <f t="shared" si="20"/>
        <v>0</v>
      </c>
      <c r="K112" s="479"/>
      <c r="L112" s="488"/>
      <c r="M112" s="479">
        <f t="shared" si="21"/>
        <v>0</v>
      </c>
      <c r="N112" s="488"/>
      <c r="O112" s="479">
        <f t="shared" si="22"/>
        <v>0</v>
      </c>
      <c r="P112" s="479">
        <f t="shared" si="23"/>
        <v>0</v>
      </c>
    </row>
    <row r="113" spans="2:16" ht="12.5">
      <c r="B113" s="160" t="str">
        <f t="shared" si="24"/>
        <v/>
      </c>
      <c r="C113" s="473">
        <f>IF(D93="","-",+C112+1)</f>
        <v>2021</v>
      </c>
      <c r="D113" s="347">
        <f>IF(F112+SUM(E$99:E112)=D$92,F112,D$92-SUM(E$99:E112))</f>
        <v>53107</v>
      </c>
      <c r="E113" s="487">
        <f>IF(+J96&lt;F112,J96,D113)</f>
        <v>1770</v>
      </c>
      <c r="F113" s="486">
        <f t="shared" si="33"/>
        <v>51337</v>
      </c>
      <c r="G113" s="486">
        <f t="shared" si="34"/>
        <v>52222</v>
      </c>
      <c r="H113" s="489">
        <f t="shared" si="35"/>
        <v>7154.8206699826769</v>
      </c>
      <c r="I113" s="543">
        <f t="shared" si="36"/>
        <v>7154.8206699826769</v>
      </c>
      <c r="J113" s="479">
        <f t="shared" si="20"/>
        <v>0</v>
      </c>
      <c r="K113" s="479"/>
      <c r="L113" s="488"/>
      <c r="M113" s="479">
        <f t="shared" si="21"/>
        <v>0</v>
      </c>
      <c r="N113" s="488"/>
      <c r="O113" s="479">
        <f t="shared" si="22"/>
        <v>0</v>
      </c>
      <c r="P113" s="479">
        <f t="shared" si="23"/>
        <v>0</v>
      </c>
    </row>
    <row r="114" spans="2:16" ht="12.5">
      <c r="B114" s="160" t="str">
        <f t="shared" si="24"/>
        <v/>
      </c>
      <c r="C114" s="473">
        <f>IF(D93="","-",+C113+1)</f>
        <v>2022</v>
      </c>
      <c r="D114" s="347">
        <f>IF(F113+SUM(E$99:E113)=D$92,F113,D$92-SUM(E$99:E113))</f>
        <v>51337</v>
      </c>
      <c r="E114" s="487">
        <f>IF(+J96&lt;F113,J96,D114)</f>
        <v>1770</v>
      </c>
      <c r="F114" s="486">
        <f t="shared" si="33"/>
        <v>49567</v>
      </c>
      <c r="G114" s="486">
        <f t="shared" si="34"/>
        <v>50452</v>
      </c>
      <c r="H114" s="489">
        <f t="shared" si="35"/>
        <v>6972.3088438199611</v>
      </c>
      <c r="I114" s="543">
        <f t="shared" si="36"/>
        <v>6972.3088438199611</v>
      </c>
      <c r="J114" s="479">
        <f t="shared" si="20"/>
        <v>0</v>
      </c>
      <c r="K114" s="479"/>
      <c r="L114" s="488"/>
      <c r="M114" s="479">
        <f t="shared" si="21"/>
        <v>0</v>
      </c>
      <c r="N114" s="488"/>
      <c r="O114" s="479">
        <f t="shared" si="22"/>
        <v>0</v>
      </c>
      <c r="P114" s="479">
        <f t="shared" si="23"/>
        <v>0</v>
      </c>
    </row>
    <row r="115" spans="2:16" ht="12.5">
      <c r="B115" s="160" t="str">
        <f t="shared" si="24"/>
        <v/>
      </c>
      <c r="C115" s="473">
        <f>IF(D93="","-",+C114+1)</f>
        <v>2023</v>
      </c>
      <c r="D115" s="347">
        <f>IF(F114+SUM(E$99:E114)=D$92,F114,D$92-SUM(E$99:E114))</f>
        <v>49567</v>
      </c>
      <c r="E115" s="487">
        <f>IF(+J96&lt;F114,J96,D115)</f>
        <v>1770</v>
      </c>
      <c r="F115" s="486">
        <f t="shared" si="33"/>
        <v>47797</v>
      </c>
      <c r="G115" s="486">
        <f t="shared" si="34"/>
        <v>48682</v>
      </c>
      <c r="H115" s="489">
        <f t="shared" si="35"/>
        <v>6789.7970176572453</v>
      </c>
      <c r="I115" s="543">
        <f t="shared" si="36"/>
        <v>6789.7970176572453</v>
      </c>
      <c r="J115" s="479">
        <f t="shared" si="20"/>
        <v>0</v>
      </c>
      <c r="K115" s="479"/>
      <c r="L115" s="488"/>
      <c r="M115" s="479">
        <f t="shared" si="21"/>
        <v>0</v>
      </c>
      <c r="N115" s="488"/>
      <c r="O115" s="479">
        <f t="shared" si="22"/>
        <v>0</v>
      </c>
      <c r="P115" s="479">
        <f t="shared" si="23"/>
        <v>0</v>
      </c>
    </row>
    <row r="116" spans="2:16" ht="12.5">
      <c r="B116" s="160" t="str">
        <f t="shared" si="24"/>
        <v/>
      </c>
      <c r="C116" s="473">
        <f>IF(D93="","-",+C115+1)</f>
        <v>2024</v>
      </c>
      <c r="D116" s="347">
        <f>IF(F115+SUM(E$99:E115)=D$92,F115,D$92-SUM(E$99:E115))</f>
        <v>47797</v>
      </c>
      <c r="E116" s="487">
        <f>IF(+J96&lt;F115,J96,D116)</f>
        <v>1770</v>
      </c>
      <c r="F116" s="486">
        <f t="shared" si="33"/>
        <v>46027</v>
      </c>
      <c r="G116" s="486">
        <f t="shared" si="34"/>
        <v>46912</v>
      </c>
      <c r="H116" s="489">
        <f t="shared" si="35"/>
        <v>6607.2851914945295</v>
      </c>
      <c r="I116" s="543">
        <f t="shared" si="36"/>
        <v>6607.2851914945295</v>
      </c>
      <c r="J116" s="479">
        <f t="shared" si="20"/>
        <v>0</v>
      </c>
      <c r="K116" s="479"/>
      <c r="L116" s="488"/>
      <c r="M116" s="479">
        <f t="shared" si="21"/>
        <v>0</v>
      </c>
      <c r="N116" s="488"/>
      <c r="O116" s="479">
        <f t="shared" si="22"/>
        <v>0</v>
      </c>
      <c r="P116" s="479">
        <f t="shared" si="23"/>
        <v>0</v>
      </c>
    </row>
    <row r="117" spans="2:16" ht="12.5">
      <c r="B117" s="160" t="str">
        <f t="shared" si="24"/>
        <v/>
      </c>
      <c r="C117" s="473">
        <f>IF(D93="","-",+C116+1)</f>
        <v>2025</v>
      </c>
      <c r="D117" s="347">
        <f>IF(F116+SUM(E$99:E116)=D$92,F116,D$92-SUM(E$99:E116))</f>
        <v>46027</v>
      </c>
      <c r="E117" s="487">
        <f>IF(+J96&lt;F116,J96,D117)</f>
        <v>1770</v>
      </c>
      <c r="F117" s="486">
        <f t="shared" si="33"/>
        <v>44257</v>
      </c>
      <c r="G117" s="486">
        <f t="shared" si="34"/>
        <v>45142</v>
      </c>
      <c r="H117" s="489">
        <f t="shared" si="35"/>
        <v>6424.7733653318137</v>
      </c>
      <c r="I117" s="543">
        <f t="shared" si="36"/>
        <v>6424.7733653318137</v>
      </c>
      <c r="J117" s="479">
        <f t="shared" si="20"/>
        <v>0</v>
      </c>
      <c r="K117" s="479"/>
      <c r="L117" s="488"/>
      <c r="M117" s="479">
        <f t="shared" si="21"/>
        <v>0</v>
      </c>
      <c r="N117" s="488"/>
      <c r="O117" s="479">
        <f t="shared" si="22"/>
        <v>0</v>
      </c>
      <c r="P117" s="479">
        <f t="shared" si="23"/>
        <v>0</v>
      </c>
    </row>
    <row r="118" spans="2:16" ht="12.5">
      <c r="B118" s="160" t="str">
        <f t="shared" si="24"/>
        <v/>
      </c>
      <c r="C118" s="473">
        <f>IF(D93="","-",+C117+1)</f>
        <v>2026</v>
      </c>
      <c r="D118" s="347">
        <f>IF(F117+SUM(E$99:E117)=D$92,F117,D$92-SUM(E$99:E117))</f>
        <v>44257</v>
      </c>
      <c r="E118" s="487">
        <f>IF(+J96&lt;F117,J96,D118)</f>
        <v>1770</v>
      </c>
      <c r="F118" s="486">
        <f t="shared" si="33"/>
        <v>42487</v>
      </c>
      <c r="G118" s="486">
        <f t="shared" si="34"/>
        <v>43372</v>
      </c>
      <c r="H118" s="489">
        <f t="shared" si="35"/>
        <v>6242.2615391690979</v>
      </c>
      <c r="I118" s="543">
        <f t="shared" si="36"/>
        <v>6242.2615391690979</v>
      </c>
      <c r="J118" s="479">
        <f t="shared" si="20"/>
        <v>0</v>
      </c>
      <c r="K118" s="479"/>
      <c r="L118" s="488"/>
      <c r="M118" s="479">
        <f t="shared" si="21"/>
        <v>0</v>
      </c>
      <c r="N118" s="488"/>
      <c r="O118" s="479">
        <f t="shared" si="22"/>
        <v>0</v>
      </c>
      <c r="P118" s="479">
        <f t="shared" si="23"/>
        <v>0</v>
      </c>
    </row>
    <row r="119" spans="2:16" ht="12.5">
      <c r="B119" s="160" t="str">
        <f t="shared" si="24"/>
        <v/>
      </c>
      <c r="C119" s="473">
        <f>IF(D93="","-",+C118+1)</f>
        <v>2027</v>
      </c>
      <c r="D119" s="347">
        <f>IF(F118+SUM(E$99:E118)=D$92,F118,D$92-SUM(E$99:E118))</f>
        <v>42487</v>
      </c>
      <c r="E119" s="487">
        <f>IF(+J96&lt;F118,J96,D119)</f>
        <v>1770</v>
      </c>
      <c r="F119" s="486">
        <f t="shared" si="33"/>
        <v>40717</v>
      </c>
      <c r="G119" s="486">
        <f t="shared" si="34"/>
        <v>41602</v>
      </c>
      <c r="H119" s="489">
        <f t="shared" si="35"/>
        <v>6059.749713006383</v>
      </c>
      <c r="I119" s="543">
        <f t="shared" si="36"/>
        <v>6059.749713006383</v>
      </c>
      <c r="J119" s="479">
        <f t="shared" si="20"/>
        <v>0</v>
      </c>
      <c r="K119" s="479"/>
      <c r="L119" s="488"/>
      <c r="M119" s="479">
        <f t="shared" si="21"/>
        <v>0</v>
      </c>
      <c r="N119" s="488"/>
      <c r="O119" s="479">
        <f t="shared" si="22"/>
        <v>0</v>
      </c>
      <c r="P119" s="479">
        <f t="shared" si="23"/>
        <v>0</v>
      </c>
    </row>
    <row r="120" spans="2:16" ht="12.5">
      <c r="B120" s="160" t="str">
        <f t="shared" si="24"/>
        <v/>
      </c>
      <c r="C120" s="473">
        <f>IF(D93="","-",+C119+1)</f>
        <v>2028</v>
      </c>
      <c r="D120" s="347">
        <f>IF(F119+SUM(E$99:E119)=D$92,F119,D$92-SUM(E$99:E119))</f>
        <v>40717</v>
      </c>
      <c r="E120" s="487">
        <f>IF(+J96&lt;F119,J96,D120)</f>
        <v>1770</v>
      </c>
      <c r="F120" s="486">
        <f t="shared" si="33"/>
        <v>38947</v>
      </c>
      <c r="G120" s="486">
        <f t="shared" si="34"/>
        <v>39832</v>
      </c>
      <c r="H120" s="489">
        <f t="shared" si="35"/>
        <v>5877.2378868436672</v>
      </c>
      <c r="I120" s="543">
        <f t="shared" si="36"/>
        <v>5877.2378868436672</v>
      </c>
      <c r="J120" s="479">
        <f t="shared" si="20"/>
        <v>0</v>
      </c>
      <c r="K120" s="479"/>
      <c r="L120" s="488"/>
      <c r="M120" s="479">
        <f t="shared" si="21"/>
        <v>0</v>
      </c>
      <c r="N120" s="488"/>
      <c r="O120" s="479">
        <f t="shared" si="22"/>
        <v>0</v>
      </c>
      <c r="P120" s="479">
        <f t="shared" si="23"/>
        <v>0</v>
      </c>
    </row>
    <row r="121" spans="2:16" ht="12.5">
      <c r="B121" s="160" t="str">
        <f t="shared" si="24"/>
        <v/>
      </c>
      <c r="C121" s="473">
        <f>IF(D93="","-",+C120+1)</f>
        <v>2029</v>
      </c>
      <c r="D121" s="347">
        <f>IF(F120+SUM(E$99:E120)=D$92,F120,D$92-SUM(E$99:E120))</f>
        <v>38947</v>
      </c>
      <c r="E121" s="487">
        <f>IF(+J96&lt;F120,J96,D121)</f>
        <v>1770</v>
      </c>
      <c r="F121" s="486">
        <f t="shared" si="33"/>
        <v>37177</v>
      </c>
      <c r="G121" s="486">
        <f t="shared" si="34"/>
        <v>38062</v>
      </c>
      <c r="H121" s="489">
        <f t="shared" si="35"/>
        <v>5694.7260606809514</v>
      </c>
      <c r="I121" s="543">
        <f t="shared" si="36"/>
        <v>5694.7260606809514</v>
      </c>
      <c r="J121" s="479">
        <f t="shared" si="20"/>
        <v>0</v>
      </c>
      <c r="K121" s="479"/>
      <c r="L121" s="488"/>
      <c r="M121" s="479">
        <f t="shared" si="21"/>
        <v>0</v>
      </c>
      <c r="N121" s="488"/>
      <c r="O121" s="479">
        <f t="shared" si="22"/>
        <v>0</v>
      </c>
      <c r="P121" s="479">
        <f t="shared" si="23"/>
        <v>0</v>
      </c>
    </row>
    <row r="122" spans="2:16" ht="12.5">
      <c r="B122" s="160" t="str">
        <f t="shared" si="24"/>
        <v/>
      </c>
      <c r="C122" s="473">
        <f>IF(D93="","-",+C121+1)</f>
        <v>2030</v>
      </c>
      <c r="D122" s="347">
        <f>IF(F121+SUM(E$99:E121)=D$92,F121,D$92-SUM(E$99:E121))</f>
        <v>37177</v>
      </c>
      <c r="E122" s="487">
        <f>IF(+J96&lt;F121,J96,D122)</f>
        <v>1770</v>
      </c>
      <c r="F122" s="486">
        <f t="shared" si="33"/>
        <v>35407</v>
      </c>
      <c r="G122" s="486">
        <f t="shared" si="34"/>
        <v>36292</v>
      </c>
      <c r="H122" s="489">
        <f t="shared" si="35"/>
        <v>5512.2142345182356</v>
      </c>
      <c r="I122" s="543">
        <f t="shared" si="36"/>
        <v>5512.2142345182356</v>
      </c>
      <c r="J122" s="479">
        <f t="shared" si="20"/>
        <v>0</v>
      </c>
      <c r="K122" s="479"/>
      <c r="L122" s="488"/>
      <c r="M122" s="479">
        <f t="shared" si="21"/>
        <v>0</v>
      </c>
      <c r="N122" s="488"/>
      <c r="O122" s="479">
        <f t="shared" si="22"/>
        <v>0</v>
      </c>
      <c r="P122" s="479">
        <f t="shared" si="23"/>
        <v>0</v>
      </c>
    </row>
    <row r="123" spans="2:16" ht="12.5">
      <c r="B123" s="160" t="str">
        <f t="shared" si="24"/>
        <v/>
      </c>
      <c r="C123" s="473">
        <f>IF(D93="","-",+C122+1)</f>
        <v>2031</v>
      </c>
      <c r="D123" s="347">
        <f>IF(F122+SUM(E$99:E122)=D$92,F122,D$92-SUM(E$99:E122))</f>
        <v>35407</v>
      </c>
      <c r="E123" s="487">
        <f>IF(+J96&lt;F122,J96,D123)</f>
        <v>1770</v>
      </c>
      <c r="F123" s="486">
        <f t="shared" si="33"/>
        <v>33637</v>
      </c>
      <c r="G123" s="486">
        <f t="shared" si="34"/>
        <v>34522</v>
      </c>
      <c r="H123" s="489">
        <f t="shared" si="35"/>
        <v>5329.7024083555198</v>
      </c>
      <c r="I123" s="543">
        <f t="shared" si="36"/>
        <v>5329.7024083555198</v>
      </c>
      <c r="J123" s="479">
        <f t="shared" si="20"/>
        <v>0</v>
      </c>
      <c r="K123" s="479"/>
      <c r="L123" s="488"/>
      <c r="M123" s="479">
        <f t="shared" si="21"/>
        <v>0</v>
      </c>
      <c r="N123" s="488"/>
      <c r="O123" s="479">
        <f t="shared" si="22"/>
        <v>0</v>
      </c>
      <c r="P123" s="479">
        <f t="shared" si="23"/>
        <v>0</v>
      </c>
    </row>
    <row r="124" spans="2:16" ht="12.5">
      <c r="B124" s="160" t="str">
        <f t="shared" si="24"/>
        <v/>
      </c>
      <c r="C124" s="473">
        <f>IF(D93="","-",+C123+1)</f>
        <v>2032</v>
      </c>
      <c r="D124" s="347">
        <f>IF(F123+SUM(E$99:E123)=D$92,F123,D$92-SUM(E$99:E123))</f>
        <v>33637</v>
      </c>
      <c r="E124" s="487">
        <f>IF(+J96&lt;F123,J96,D124)</f>
        <v>1770</v>
      </c>
      <c r="F124" s="486">
        <f t="shared" si="33"/>
        <v>31867</v>
      </c>
      <c r="G124" s="486">
        <f t="shared" si="34"/>
        <v>32752</v>
      </c>
      <c r="H124" s="489">
        <f t="shared" si="35"/>
        <v>5147.1905821928049</v>
      </c>
      <c r="I124" s="543">
        <f t="shared" si="36"/>
        <v>5147.1905821928049</v>
      </c>
      <c r="J124" s="479">
        <f t="shared" si="20"/>
        <v>0</v>
      </c>
      <c r="K124" s="479"/>
      <c r="L124" s="488"/>
      <c r="M124" s="479">
        <f t="shared" si="21"/>
        <v>0</v>
      </c>
      <c r="N124" s="488"/>
      <c r="O124" s="479">
        <f t="shared" si="22"/>
        <v>0</v>
      </c>
      <c r="P124" s="479">
        <f t="shared" si="23"/>
        <v>0</v>
      </c>
    </row>
    <row r="125" spans="2:16" ht="12.5">
      <c r="B125" s="160" t="str">
        <f t="shared" si="24"/>
        <v/>
      </c>
      <c r="C125" s="473">
        <f>IF(D93="","-",+C124+1)</f>
        <v>2033</v>
      </c>
      <c r="D125" s="347">
        <f>IF(F124+SUM(E$99:E124)=D$92,F124,D$92-SUM(E$99:E124))</f>
        <v>31867</v>
      </c>
      <c r="E125" s="487">
        <f>IF(+J96&lt;F124,J96,D125)</f>
        <v>1770</v>
      </c>
      <c r="F125" s="486">
        <f t="shared" si="33"/>
        <v>30097</v>
      </c>
      <c r="G125" s="486">
        <f t="shared" si="34"/>
        <v>30982</v>
      </c>
      <c r="H125" s="489">
        <f t="shared" si="35"/>
        <v>4964.6787560300891</v>
      </c>
      <c r="I125" s="543">
        <f t="shared" si="36"/>
        <v>4964.6787560300891</v>
      </c>
      <c r="J125" s="479">
        <f t="shared" si="20"/>
        <v>0</v>
      </c>
      <c r="K125" s="479"/>
      <c r="L125" s="488"/>
      <c r="M125" s="479">
        <f t="shared" si="21"/>
        <v>0</v>
      </c>
      <c r="N125" s="488"/>
      <c r="O125" s="479">
        <f t="shared" si="22"/>
        <v>0</v>
      </c>
      <c r="P125" s="479">
        <f t="shared" si="23"/>
        <v>0</v>
      </c>
    </row>
    <row r="126" spans="2:16" ht="12.5">
      <c r="B126" s="160" t="str">
        <f t="shared" si="24"/>
        <v/>
      </c>
      <c r="C126" s="473">
        <f>IF(D93="","-",+C125+1)</f>
        <v>2034</v>
      </c>
      <c r="D126" s="347">
        <f>IF(F125+SUM(E$99:E125)=D$92,F125,D$92-SUM(E$99:E125))</f>
        <v>30097</v>
      </c>
      <c r="E126" s="487">
        <f>IF(+J96&lt;F125,J96,D126)</f>
        <v>1770</v>
      </c>
      <c r="F126" s="486">
        <f t="shared" si="33"/>
        <v>28327</v>
      </c>
      <c r="G126" s="486">
        <f t="shared" si="34"/>
        <v>29212</v>
      </c>
      <c r="H126" s="489">
        <f t="shared" si="35"/>
        <v>4782.1669298673733</v>
      </c>
      <c r="I126" s="543">
        <f t="shared" si="36"/>
        <v>4782.1669298673733</v>
      </c>
      <c r="J126" s="479">
        <f t="shared" si="20"/>
        <v>0</v>
      </c>
      <c r="K126" s="479"/>
      <c r="L126" s="488"/>
      <c r="M126" s="479">
        <f t="shared" si="21"/>
        <v>0</v>
      </c>
      <c r="N126" s="488"/>
      <c r="O126" s="479">
        <f t="shared" si="22"/>
        <v>0</v>
      </c>
      <c r="P126" s="479">
        <f t="shared" si="23"/>
        <v>0</v>
      </c>
    </row>
    <row r="127" spans="2:16" ht="12.5">
      <c r="B127" s="160" t="str">
        <f t="shared" si="24"/>
        <v/>
      </c>
      <c r="C127" s="473">
        <f>IF(D93="","-",+C126+1)</f>
        <v>2035</v>
      </c>
      <c r="D127" s="347">
        <f>IF(F126+SUM(E$99:E126)=D$92,F126,D$92-SUM(E$99:E126))</f>
        <v>28327</v>
      </c>
      <c r="E127" s="487">
        <f>IF(+J96&lt;F126,J96,D127)</f>
        <v>1770</v>
      </c>
      <c r="F127" s="486">
        <f t="shared" si="33"/>
        <v>26557</v>
      </c>
      <c r="G127" s="486">
        <f t="shared" si="34"/>
        <v>27442</v>
      </c>
      <c r="H127" s="489">
        <f t="shared" si="35"/>
        <v>4599.6551037046574</v>
      </c>
      <c r="I127" s="543">
        <f t="shared" si="36"/>
        <v>4599.6551037046574</v>
      </c>
      <c r="J127" s="479">
        <f t="shared" si="20"/>
        <v>0</v>
      </c>
      <c r="K127" s="479"/>
      <c r="L127" s="488"/>
      <c r="M127" s="479">
        <f t="shared" si="21"/>
        <v>0</v>
      </c>
      <c r="N127" s="488"/>
      <c r="O127" s="479">
        <f t="shared" si="22"/>
        <v>0</v>
      </c>
      <c r="P127" s="479">
        <f t="shared" si="23"/>
        <v>0</v>
      </c>
    </row>
    <row r="128" spans="2:16" ht="12.5">
      <c r="B128" s="160" t="str">
        <f t="shared" si="24"/>
        <v/>
      </c>
      <c r="C128" s="473">
        <f>IF(D93="","-",+C127+1)</f>
        <v>2036</v>
      </c>
      <c r="D128" s="347">
        <f>IF(F127+SUM(E$99:E127)=D$92,F127,D$92-SUM(E$99:E127))</f>
        <v>26557</v>
      </c>
      <c r="E128" s="487">
        <f>IF(+J96&lt;F127,J96,D128)</f>
        <v>1770</v>
      </c>
      <c r="F128" s="486">
        <f t="shared" si="33"/>
        <v>24787</v>
      </c>
      <c r="G128" s="486">
        <f t="shared" si="34"/>
        <v>25672</v>
      </c>
      <c r="H128" s="489">
        <f t="shared" si="35"/>
        <v>4417.1432775419416</v>
      </c>
      <c r="I128" s="543">
        <f t="shared" si="36"/>
        <v>4417.1432775419416</v>
      </c>
      <c r="J128" s="479">
        <f t="shared" si="20"/>
        <v>0</v>
      </c>
      <c r="K128" s="479"/>
      <c r="L128" s="488"/>
      <c r="M128" s="479">
        <f t="shared" si="21"/>
        <v>0</v>
      </c>
      <c r="N128" s="488"/>
      <c r="O128" s="479">
        <f t="shared" si="22"/>
        <v>0</v>
      </c>
      <c r="P128" s="479">
        <f t="shared" si="23"/>
        <v>0</v>
      </c>
    </row>
    <row r="129" spans="2:16" ht="12.5">
      <c r="B129" s="160" t="str">
        <f t="shared" si="24"/>
        <v/>
      </c>
      <c r="C129" s="473">
        <f>IF(D93="","-",+C128+1)</f>
        <v>2037</v>
      </c>
      <c r="D129" s="347">
        <f>IF(F128+SUM(E$99:E128)=D$92,F128,D$92-SUM(E$99:E128))</f>
        <v>24787</v>
      </c>
      <c r="E129" s="487">
        <f>IF(+J96&lt;F128,J96,D129)</f>
        <v>1770</v>
      </c>
      <c r="F129" s="486">
        <f t="shared" si="33"/>
        <v>23017</v>
      </c>
      <c r="G129" s="486">
        <f t="shared" si="34"/>
        <v>23902</v>
      </c>
      <c r="H129" s="489">
        <f t="shared" si="35"/>
        <v>4234.6314513792258</v>
      </c>
      <c r="I129" s="543">
        <f t="shared" si="36"/>
        <v>4234.6314513792258</v>
      </c>
      <c r="J129" s="479">
        <f t="shared" si="20"/>
        <v>0</v>
      </c>
      <c r="K129" s="479"/>
      <c r="L129" s="488"/>
      <c r="M129" s="479">
        <f t="shared" si="21"/>
        <v>0</v>
      </c>
      <c r="N129" s="488"/>
      <c r="O129" s="479">
        <f t="shared" si="22"/>
        <v>0</v>
      </c>
      <c r="P129" s="479">
        <f t="shared" si="23"/>
        <v>0</v>
      </c>
    </row>
    <row r="130" spans="2:16" ht="12.5">
      <c r="B130" s="160" t="str">
        <f t="shared" si="24"/>
        <v/>
      </c>
      <c r="C130" s="473">
        <f>IF(D93="","-",+C129+1)</f>
        <v>2038</v>
      </c>
      <c r="D130" s="347">
        <f>IF(F129+SUM(E$99:E129)=D$92,F129,D$92-SUM(E$99:E129))</f>
        <v>23017</v>
      </c>
      <c r="E130" s="487">
        <f>IF(+J96&lt;F129,J96,D130)</f>
        <v>1770</v>
      </c>
      <c r="F130" s="486">
        <f t="shared" si="33"/>
        <v>21247</v>
      </c>
      <c r="G130" s="486">
        <f t="shared" si="34"/>
        <v>22132</v>
      </c>
      <c r="H130" s="489">
        <f t="shared" si="35"/>
        <v>4052.11962521651</v>
      </c>
      <c r="I130" s="543">
        <f t="shared" si="36"/>
        <v>4052.11962521651</v>
      </c>
      <c r="J130" s="479">
        <f t="shared" si="20"/>
        <v>0</v>
      </c>
      <c r="K130" s="479"/>
      <c r="L130" s="488"/>
      <c r="M130" s="479">
        <f t="shared" si="21"/>
        <v>0</v>
      </c>
      <c r="N130" s="488"/>
      <c r="O130" s="479">
        <f t="shared" si="22"/>
        <v>0</v>
      </c>
      <c r="P130" s="479">
        <f t="shared" si="23"/>
        <v>0</v>
      </c>
    </row>
    <row r="131" spans="2:16" ht="12.5">
      <c r="B131" s="160" t="str">
        <f t="shared" si="24"/>
        <v/>
      </c>
      <c r="C131" s="473">
        <f>IF(D93="","-",+C130+1)</f>
        <v>2039</v>
      </c>
      <c r="D131" s="347">
        <f>IF(F130+SUM(E$99:E130)=D$92,F130,D$92-SUM(E$99:E130))</f>
        <v>21247</v>
      </c>
      <c r="E131" s="487">
        <f>IF(+J96&lt;F130,J96,D131)</f>
        <v>1770</v>
      </c>
      <c r="F131" s="486">
        <f t="shared" si="33"/>
        <v>19477</v>
      </c>
      <c r="G131" s="486">
        <f t="shared" si="34"/>
        <v>20362</v>
      </c>
      <c r="H131" s="489">
        <f t="shared" si="35"/>
        <v>3869.6077990537947</v>
      </c>
      <c r="I131" s="543">
        <f t="shared" si="36"/>
        <v>3869.6077990537947</v>
      </c>
      <c r="J131" s="479">
        <f t="shared" ref="J131:J154" si="37">+I541-H541</f>
        <v>0</v>
      </c>
      <c r="K131" s="479"/>
      <c r="L131" s="488"/>
      <c r="M131" s="479">
        <f t="shared" ref="M131:M154" si="38">IF(L541&lt;&gt;0,+H541-L541,0)</f>
        <v>0</v>
      </c>
      <c r="N131" s="488"/>
      <c r="O131" s="479">
        <f t="shared" ref="O131:O154" si="39">IF(N541&lt;&gt;0,+I541-N541,0)</f>
        <v>0</v>
      </c>
      <c r="P131" s="479">
        <f t="shared" ref="P131:P154" si="40">+O541-M541</f>
        <v>0</v>
      </c>
    </row>
    <row r="132" spans="2:16" ht="12.5">
      <c r="B132" s="160" t="str">
        <f t="shared" si="24"/>
        <v/>
      </c>
      <c r="C132" s="473">
        <f>IF(D93="","-",+C131+1)</f>
        <v>2040</v>
      </c>
      <c r="D132" s="347">
        <f>IF(F131+SUM(E$99:E131)=D$92,F131,D$92-SUM(E$99:E131))</f>
        <v>19477</v>
      </c>
      <c r="E132" s="487">
        <f>IF(+J96&lt;F131,J96,D132)</f>
        <v>1770</v>
      </c>
      <c r="F132" s="486">
        <f t="shared" si="33"/>
        <v>17707</v>
      </c>
      <c r="G132" s="486">
        <f t="shared" si="34"/>
        <v>18592</v>
      </c>
      <c r="H132" s="489">
        <f t="shared" si="35"/>
        <v>3687.0959728910789</v>
      </c>
      <c r="I132" s="543">
        <f t="shared" si="36"/>
        <v>3687.0959728910789</v>
      </c>
      <c r="J132" s="479">
        <f t="shared" si="37"/>
        <v>0</v>
      </c>
      <c r="K132" s="479"/>
      <c r="L132" s="488"/>
      <c r="M132" s="479">
        <f t="shared" si="38"/>
        <v>0</v>
      </c>
      <c r="N132" s="488"/>
      <c r="O132" s="479">
        <f t="shared" si="39"/>
        <v>0</v>
      </c>
      <c r="P132" s="479">
        <f t="shared" si="40"/>
        <v>0</v>
      </c>
    </row>
    <row r="133" spans="2:16" ht="12.5">
      <c r="B133" s="160" t="str">
        <f t="shared" si="24"/>
        <v/>
      </c>
      <c r="C133" s="473">
        <f>IF(D93="","-",+C132+1)</f>
        <v>2041</v>
      </c>
      <c r="D133" s="347">
        <f>IF(F132+SUM(E$99:E132)=D$92,F132,D$92-SUM(E$99:E132))</f>
        <v>17707</v>
      </c>
      <c r="E133" s="487">
        <f>IF(+J96&lt;F132,J96,D133)</f>
        <v>1770</v>
      </c>
      <c r="F133" s="486">
        <f t="shared" si="33"/>
        <v>15937</v>
      </c>
      <c r="G133" s="486">
        <f t="shared" si="34"/>
        <v>16822</v>
      </c>
      <c r="H133" s="489">
        <f t="shared" si="35"/>
        <v>3504.5841467283635</v>
      </c>
      <c r="I133" s="543">
        <f t="shared" si="36"/>
        <v>3504.5841467283635</v>
      </c>
      <c r="J133" s="479">
        <f t="shared" si="37"/>
        <v>0</v>
      </c>
      <c r="K133" s="479"/>
      <c r="L133" s="488"/>
      <c r="M133" s="479">
        <f t="shared" si="38"/>
        <v>0</v>
      </c>
      <c r="N133" s="488"/>
      <c r="O133" s="479">
        <f t="shared" si="39"/>
        <v>0</v>
      </c>
      <c r="P133" s="479">
        <f t="shared" si="40"/>
        <v>0</v>
      </c>
    </row>
    <row r="134" spans="2:16" ht="12.5">
      <c r="B134" s="160" t="str">
        <f t="shared" si="24"/>
        <v/>
      </c>
      <c r="C134" s="473">
        <f>IF(D93="","-",+C133+1)</f>
        <v>2042</v>
      </c>
      <c r="D134" s="347">
        <f>IF(F133+SUM(E$99:E133)=D$92,F133,D$92-SUM(E$99:E133))</f>
        <v>15937</v>
      </c>
      <c r="E134" s="487">
        <f>IF(+J96&lt;F133,J96,D134)</f>
        <v>1770</v>
      </c>
      <c r="F134" s="486">
        <f t="shared" si="33"/>
        <v>14167</v>
      </c>
      <c r="G134" s="486">
        <f t="shared" si="34"/>
        <v>15052</v>
      </c>
      <c r="H134" s="489">
        <f t="shared" si="35"/>
        <v>3322.0723205656477</v>
      </c>
      <c r="I134" s="543">
        <f t="shared" si="36"/>
        <v>3322.0723205656477</v>
      </c>
      <c r="J134" s="479">
        <f t="shared" si="37"/>
        <v>0</v>
      </c>
      <c r="K134" s="479"/>
      <c r="L134" s="488"/>
      <c r="M134" s="479">
        <f t="shared" si="38"/>
        <v>0</v>
      </c>
      <c r="N134" s="488"/>
      <c r="O134" s="479">
        <f t="shared" si="39"/>
        <v>0</v>
      </c>
      <c r="P134" s="479">
        <f t="shared" si="40"/>
        <v>0</v>
      </c>
    </row>
    <row r="135" spans="2:16" ht="12.5">
      <c r="B135" s="160" t="str">
        <f t="shared" si="24"/>
        <v/>
      </c>
      <c r="C135" s="473">
        <f>IF(D93="","-",+C134+1)</f>
        <v>2043</v>
      </c>
      <c r="D135" s="347">
        <f>IF(F134+SUM(E$99:E134)=D$92,F134,D$92-SUM(E$99:E134))</f>
        <v>14167</v>
      </c>
      <c r="E135" s="487">
        <f>IF(+J96&lt;F134,J96,D135)</f>
        <v>1770</v>
      </c>
      <c r="F135" s="486">
        <f t="shared" si="33"/>
        <v>12397</v>
      </c>
      <c r="G135" s="486">
        <f t="shared" si="34"/>
        <v>13282</v>
      </c>
      <c r="H135" s="489">
        <f t="shared" si="35"/>
        <v>3139.5604944029319</v>
      </c>
      <c r="I135" s="543">
        <f t="shared" si="36"/>
        <v>3139.5604944029319</v>
      </c>
      <c r="J135" s="479">
        <f t="shared" si="37"/>
        <v>0</v>
      </c>
      <c r="K135" s="479"/>
      <c r="L135" s="488"/>
      <c r="M135" s="479">
        <f t="shared" si="38"/>
        <v>0</v>
      </c>
      <c r="N135" s="488"/>
      <c r="O135" s="479">
        <f t="shared" si="39"/>
        <v>0</v>
      </c>
      <c r="P135" s="479">
        <f t="shared" si="40"/>
        <v>0</v>
      </c>
    </row>
    <row r="136" spans="2:16" ht="12.5">
      <c r="B136" s="160" t="str">
        <f t="shared" si="24"/>
        <v/>
      </c>
      <c r="C136" s="473">
        <f>IF(D93="","-",+C135+1)</f>
        <v>2044</v>
      </c>
      <c r="D136" s="347">
        <f>IF(F135+SUM(E$99:E135)=D$92,F135,D$92-SUM(E$99:E135))</f>
        <v>12397</v>
      </c>
      <c r="E136" s="487">
        <f>IF(+J96&lt;F135,J96,D136)</f>
        <v>1770</v>
      </c>
      <c r="F136" s="486">
        <f t="shared" si="33"/>
        <v>10627</v>
      </c>
      <c r="G136" s="486">
        <f t="shared" si="34"/>
        <v>11512</v>
      </c>
      <c r="H136" s="489">
        <f t="shared" si="35"/>
        <v>2957.0486682402161</v>
      </c>
      <c r="I136" s="543">
        <f t="shared" si="36"/>
        <v>2957.0486682402161</v>
      </c>
      <c r="J136" s="479">
        <f t="shared" si="37"/>
        <v>0</v>
      </c>
      <c r="K136" s="479"/>
      <c r="L136" s="488"/>
      <c r="M136" s="479">
        <f t="shared" si="38"/>
        <v>0</v>
      </c>
      <c r="N136" s="488"/>
      <c r="O136" s="479">
        <f t="shared" si="39"/>
        <v>0</v>
      </c>
      <c r="P136" s="479">
        <f t="shared" si="40"/>
        <v>0</v>
      </c>
    </row>
    <row r="137" spans="2:16" ht="12.5">
      <c r="B137" s="160" t="str">
        <f t="shared" si="24"/>
        <v/>
      </c>
      <c r="C137" s="473">
        <f>IF(D93="","-",+C136+1)</f>
        <v>2045</v>
      </c>
      <c r="D137" s="347">
        <f>IF(F136+SUM(E$99:E136)=D$92,F136,D$92-SUM(E$99:E136))</f>
        <v>10627</v>
      </c>
      <c r="E137" s="487">
        <f>IF(+J96&lt;F136,J96,D137)</f>
        <v>1770</v>
      </c>
      <c r="F137" s="486">
        <f t="shared" si="33"/>
        <v>8857</v>
      </c>
      <c r="G137" s="486">
        <f t="shared" si="34"/>
        <v>9742</v>
      </c>
      <c r="H137" s="489">
        <f t="shared" si="35"/>
        <v>2774.5368420775003</v>
      </c>
      <c r="I137" s="543">
        <f t="shared" si="36"/>
        <v>2774.5368420775003</v>
      </c>
      <c r="J137" s="479">
        <f t="shared" si="37"/>
        <v>0</v>
      </c>
      <c r="K137" s="479"/>
      <c r="L137" s="488"/>
      <c r="M137" s="479">
        <f t="shared" si="38"/>
        <v>0</v>
      </c>
      <c r="N137" s="488"/>
      <c r="O137" s="479">
        <f t="shared" si="39"/>
        <v>0</v>
      </c>
      <c r="P137" s="479">
        <f t="shared" si="40"/>
        <v>0</v>
      </c>
    </row>
    <row r="138" spans="2:16" ht="12.5">
      <c r="B138" s="160" t="str">
        <f t="shared" si="24"/>
        <v/>
      </c>
      <c r="C138" s="473">
        <f>IF(D93="","-",+C137+1)</f>
        <v>2046</v>
      </c>
      <c r="D138" s="347">
        <f>IF(F137+SUM(E$99:E137)=D$92,F137,D$92-SUM(E$99:E137))</f>
        <v>8857</v>
      </c>
      <c r="E138" s="487">
        <f>IF(+J96&lt;F137,J96,D138)</f>
        <v>1770</v>
      </c>
      <c r="F138" s="486">
        <f t="shared" si="33"/>
        <v>7087</v>
      </c>
      <c r="G138" s="486">
        <f t="shared" si="34"/>
        <v>7972</v>
      </c>
      <c r="H138" s="489">
        <f t="shared" si="35"/>
        <v>2592.0250159147849</v>
      </c>
      <c r="I138" s="543">
        <f t="shared" si="36"/>
        <v>2592.0250159147849</v>
      </c>
      <c r="J138" s="479">
        <f t="shared" si="37"/>
        <v>0</v>
      </c>
      <c r="K138" s="479"/>
      <c r="L138" s="488"/>
      <c r="M138" s="479">
        <f t="shared" si="38"/>
        <v>0</v>
      </c>
      <c r="N138" s="488"/>
      <c r="O138" s="479">
        <f t="shared" si="39"/>
        <v>0</v>
      </c>
      <c r="P138" s="479">
        <f t="shared" si="40"/>
        <v>0</v>
      </c>
    </row>
    <row r="139" spans="2:16" ht="12.5">
      <c r="B139" s="160" t="str">
        <f t="shared" si="24"/>
        <v/>
      </c>
      <c r="C139" s="473">
        <f>IF(D93="","-",+C138+1)</f>
        <v>2047</v>
      </c>
      <c r="D139" s="347">
        <f>IF(F138+SUM(E$99:E138)=D$92,F138,D$92-SUM(E$99:E138))</f>
        <v>7087</v>
      </c>
      <c r="E139" s="487">
        <f>IF(+J96&lt;F138,J96,D139)</f>
        <v>1770</v>
      </c>
      <c r="F139" s="486">
        <f t="shared" si="33"/>
        <v>5317</v>
      </c>
      <c r="G139" s="486">
        <f t="shared" si="34"/>
        <v>6202</v>
      </c>
      <c r="H139" s="489">
        <f t="shared" si="35"/>
        <v>2409.5131897520691</v>
      </c>
      <c r="I139" s="543">
        <f t="shared" si="36"/>
        <v>2409.5131897520691</v>
      </c>
      <c r="J139" s="479">
        <f t="shared" si="37"/>
        <v>0</v>
      </c>
      <c r="K139" s="479"/>
      <c r="L139" s="488"/>
      <c r="M139" s="479">
        <f t="shared" si="38"/>
        <v>0</v>
      </c>
      <c r="N139" s="488"/>
      <c r="O139" s="479">
        <f t="shared" si="39"/>
        <v>0</v>
      </c>
      <c r="P139" s="479">
        <f t="shared" si="40"/>
        <v>0</v>
      </c>
    </row>
    <row r="140" spans="2:16" ht="12.5">
      <c r="B140" s="160" t="str">
        <f t="shared" si="24"/>
        <v/>
      </c>
      <c r="C140" s="473">
        <f>IF(D93="","-",+C139+1)</f>
        <v>2048</v>
      </c>
      <c r="D140" s="347">
        <f>IF(F139+SUM(E$99:E139)=D$92,F139,D$92-SUM(E$99:E139))</f>
        <v>5317</v>
      </c>
      <c r="E140" s="487">
        <f>IF(+J96&lt;F139,J96,D140)</f>
        <v>1770</v>
      </c>
      <c r="F140" s="486">
        <f t="shared" si="33"/>
        <v>3547</v>
      </c>
      <c r="G140" s="486">
        <f t="shared" si="34"/>
        <v>4432</v>
      </c>
      <c r="H140" s="489">
        <f t="shared" si="35"/>
        <v>2227.0013635893538</v>
      </c>
      <c r="I140" s="543">
        <f t="shared" si="36"/>
        <v>2227.0013635893538</v>
      </c>
      <c r="J140" s="479">
        <f t="shared" si="37"/>
        <v>0</v>
      </c>
      <c r="K140" s="479"/>
      <c r="L140" s="488"/>
      <c r="M140" s="479">
        <f t="shared" si="38"/>
        <v>0</v>
      </c>
      <c r="N140" s="488"/>
      <c r="O140" s="479">
        <f t="shared" si="39"/>
        <v>0</v>
      </c>
      <c r="P140" s="479">
        <f t="shared" si="40"/>
        <v>0</v>
      </c>
    </row>
    <row r="141" spans="2:16" ht="12.5">
      <c r="B141" s="160" t="str">
        <f t="shared" si="24"/>
        <v/>
      </c>
      <c r="C141" s="473">
        <f>IF(D93="","-",+C140+1)</f>
        <v>2049</v>
      </c>
      <c r="D141" s="347">
        <f>IF(F140+SUM(E$99:E140)=D$92,F140,D$92-SUM(E$99:E140))</f>
        <v>3547</v>
      </c>
      <c r="E141" s="487">
        <f>IF(+J96&lt;F140,J96,D141)</f>
        <v>1770</v>
      </c>
      <c r="F141" s="486">
        <f t="shared" si="33"/>
        <v>1777</v>
      </c>
      <c r="G141" s="486">
        <f t="shared" si="34"/>
        <v>2662</v>
      </c>
      <c r="H141" s="489">
        <f t="shared" si="35"/>
        <v>2044.489537426638</v>
      </c>
      <c r="I141" s="543">
        <f t="shared" si="36"/>
        <v>2044.489537426638</v>
      </c>
      <c r="J141" s="479">
        <f t="shared" si="37"/>
        <v>0</v>
      </c>
      <c r="K141" s="479"/>
      <c r="L141" s="488"/>
      <c r="M141" s="479">
        <f t="shared" si="38"/>
        <v>0</v>
      </c>
      <c r="N141" s="488"/>
      <c r="O141" s="479">
        <f t="shared" si="39"/>
        <v>0</v>
      </c>
      <c r="P141" s="479">
        <f t="shared" si="40"/>
        <v>0</v>
      </c>
    </row>
    <row r="142" spans="2:16" ht="12.5">
      <c r="B142" s="160" t="str">
        <f t="shared" si="24"/>
        <v/>
      </c>
      <c r="C142" s="473">
        <f>IF(D93="","-",+C141+1)</f>
        <v>2050</v>
      </c>
      <c r="D142" s="347">
        <f>IF(F141+SUM(E$99:E141)=D$92,F141,D$92-SUM(E$99:E141))</f>
        <v>1777</v>
      </c>
      <c r="E142" s="487">
        <f>IF(+J96&lt;F141,J96,D142)</f>
        <v>1770</v>
      </c>
      <c r="F142" s="486">
        <f t="shared" si="33"/>
        <v>7</v>
      </c>
      <c r="G142" s="486">
        <f t="shared" si="34"/>
        <v>892</v>
      </c>
      <c r="H142" s="489">
        <f t="shared" si="35"/>
        <v>1861.9777112639222</v>
      </c>
      <c r="I142" s="543">
        <f t="shared" si="36"/>
        <v>1861.9777112639222</v>
      </c>
      <c r="J142" s="479">
        <f t="shared" si="37"/>
        <v>0</v>
      </c>
      <c r="K142" s="479"/>
      <c r="L142" s="488"/>
      <c r="M142" s="479">
        <f t="shared" si="38"/>
        <v>0</v>
      </c>
      <c r="N142" s="488"/>
      <c r="O142" s="479">
        <f t="shared" si="39"/>
        <v>0</v>
      </c>
      <c r="P142" s="479">
        <f t="shared" si="40"/>
        <v>0</v>
      </c>
    </row>
    <row r="143" spans="2:16" ht="12.5">
      <c r="B143" s="160" t="str">
        <f t="shared" si="24"/>
        <v/>
      </c>
      <c r="C143" s="473">
        <f>IF(D93="","-",+C142+1)</f>
        <v>2051</v>
      </c>
      <c r="D143" s="347">
        <f>IF(F142+SUM(E$99:E142)=D$92,F142,D$92-SUM(E$99:E142))</f>
        <v>7</v>
      </c>
      <c r="E143" s="487">
        <f>IF(+J96&lt;F142,J96,D143)</f>
        <v>7</v>
      </c>
      <c r="F143" s="486">
        <f t="shared" si="33"/>
        <v>0</v>
      </c>
      <c r="G143" s="486">
        <f t="shared" si="34"/>
        <v>3.5</v>
      </c>
      <c r="H143" s="489">
        <f t="shared" si="35"/>
        <v>7.3608990912822065</v>
      </c>
      <c r="I143" s="543">
        <f t="shared" si="36"/>
        <v>7.3608990912822065</v>
      </c>
      <c r="J143" s="479">
        <f t="shared" si="37"/>
        <v>0</v>
      </c>
      <c r="K143" s="479"/>
      <c r="L143" s="488"/>
      <c r="M143" s="479">
        <f t="shared" si="38"/>
        <v>0</v>
      </c>
      <c r="N143" s="488"/>
      <c r="O143" s="479">
        <f t="shared" si="39"/>
        <v>0</v>
      </c>
      <c r="P143" s="479">
        <f t="shared" si="40"/>
        <v>0</v>
      </c>
    </row>
    <row r="144" spans="2:16" ht="12.5">
      <c r="B144" s="160" t="str">
        <f t="shared" si="24"/>
        <v/>
      </c>
      <c r="C144" s="473">
        <f>IF(D93="","-",+C143+1)</f>
        <v>2052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3"/>
        <v>0</v>
      </c>
      <c r="G144" s="486">
        <f t="shared" si="34"/>
        <v>0</v>
      </c>
      <c r="H144" s="489">
        <f t="shared" si="35"/>
        <v>0</v>
      </c>
      <c r="I144" s="543">
        <f t="shared" si="36"/>
        <v>0</v>
      </c>
      <c r="J144" s="479">
        <f t="shared" si="37"/>
        <v>0</v>
      </c>
      <c r="K144" s="479"/>
      <c r="L144" s="488"/>
      <c r="M144" s="479">
        <f t="shared" si="38"/>
        <v>0</v>
      </c>
      <c r="N144" s="488"/>
      <c r="O144" s="479">
        <f t="shared" si="39"/>
        <v>0</v>
      </c>
      <c r="P144" s="479">
        <f t="shared" si="40"/>
        <v>0</v>
      </c>
    </row>
    <row r="145" spans="2:16" ht="12.5">
      <c r="B145" s="160" t="str">
        <f t="shared" si="24"/>
        <v/>
      </c>
      <c r="C145" s="473">
        <f>IF(D93="","-",+C144+1)</f>
        <v>2053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3"/>
        <v>0</v>
      </c>
      <c r="G145" s="486">
        <f t="shared" si="34"/>
        <v>0</v>
      </c>
      <c r="H145" s="489">
        <f t="shared" si="35"/>
        <v>0</v>
      </c>
      <c r="I145" s="543">
        <f t="shared" si="36"/>
        <v>0</v>
      </c>
      <c r="J145" s="479">
        <f t="shared" si="37"/>
        <v>0</v>
      </c>
      <c r="K145" s="479"/>
      <c r="L145" s="488"/>
      <c r="M145" s="479">
        <f t="shared" si="38"/>
        <v>0</v>
      </c>
      <c r="N145" s="488"/>
      <c r="O145" s="479">
        <f t="shared" si="39"/>
        <v>0</v>
      </c>
      <c r="P145" s="479">
        <f t="shared" si="40"/>
        <v>0</v>
      </c>
    </row>
    <row r="146" spans="2:16" ht="12.5">
      <c r="B146" s="160" t="str">
        <f t="shared" si="24"/>
        <v/>
      </c>
      <c r="C146" s="473">
        <f>IF(D93="","-",+C145+1)</f>
        <v>2054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3"/>
        <v>0</v>
      </c>
      <c r="G146" s="486">
        <f t="shared" si="34"/>
        <v>0</v>
      </c>
      <c r="H146" s="489">
        <f t="shared" si="35"/>
        <v>0</v>
      </c>
      <c r="I146" s="543">
        <f t="shared" si="36"/>
        <v>0</v>
      </c>
      <c r="J146" s="479">
        <f t="shared" si="37"/>
        <v>0</v>
      </c>
      <c r="K146" s="479"/>
      <c r="L146" s="488"/>
      <c r="M146" s="479">
        <f t="shared" si="38"/>
        <v>0</v>
      </c>
      <c r="N146" s="488"/>
      <c r="O146" s="479">
        <f t="shared" si="39"/>
        <v>0</v>
      </c>
      <c r="P146" s="479">
        <f t="shared" si="40"/>
        <v>0</v>
      </c>
    </row>
    <row r="147" spans="2:16" ht="12.5">
      <c r="B147" s="160" t="str">
        <f t="shared" si="24"/>
        <v/>
      </c>
      <c r="C147" s="473">
        <f>IF(D93="","-",+C146+1)</f>
        <v>2055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3"/>
        <v>0</v>
      </c>
      <c r="G147" s="486">
        <f t="shared" si="34"/>
        <v>0</v>
      </c>
      <c r="H147" s="489">
        <f t="shared" si="35"/>
        <v>0</v>
      </c>
      <c r="I147" s="543">
        <f t="shared" si="36"/>
        <v>0</v>
      </c>
      <c r="J147" s="479">
        <f t="shared" si="37"/>
        <v>0</v>
      </c>
      <c r="K147" s="479"/>
      <c r="L147" s="488"/>
      <c r="M147" s="479">
        <f t="shared" si="38"/>
        <v>0</v>
      </c>
      <c r="N147" s="488"/>
      <c r="O147" s="479">
        <f t="shared" si="39"/>
        <v>0</v>
      </c>
      <c r="P147" s="479">
        <f t="shared" si="40"/>
        <v>0</v>
      </c>
    </row>
    <row r="148" spans="2:16" ht="12.5">
      <c r="B148" s="160" t="str">
        <f t="shared" si="24"/>
        <v/>
      </c>
      <c r="C148" s="473">
        <f>IF(D93="","-",+C147+1)</f>
        <v>2056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3"/>
        <v>0</v>
      </c>
      <c r="G148" s="486">
        <f t="shared" si="34"/>
        <v>0</v>
      </c>
      <c r="H148" s="489">
        <f t="shared" si="35"/>
        <v>0</v>
      </c>
      <c r="I148" s="543">
        <f t="shared" si="36"/>
        <v>0</v>
      </c>
      <c r="J148" s="479">
        <f t="shared" si="37"/>
        <v>0</v>
      </c>
      <c r="K148" s="479"/>
      <c r="L148" s="488"/>
      <c r="M148" s="479">
        <f t="shared" si="38"/>
        <v>0</v>
      </c>
      <c r="N148" s="488"/>
      <c r="O148" s="479">
        <f t="shared" si="39"/>
        <v>0</v>
      </c>
      <c r="P148" s="479">
        <f t="shared" si="40"/>
        <v>0</v>
      </c>
    </row>
    <row r="149" spans="2:16" ht="12.5">
      <c r="B149" s="160" t="str">
        <f t="shared" si="24"/>
        <v/>
      </c>
      <c r="C149" s="473">
        <f>IF(D93="","-",+C148+1)</f>
        <v>2057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3"/>
        <v>0</v>
      </c>
      <c r="G149" s="486">
        <f t="shared" si="34"/>
        <v>0</v>
      </c>
      <c r="H149" s="489">
        <f t="shared" si="35"/>
        <v>0</v>
      </c>
      <c r="I149" s="543">
        <f t="shared" si="36"/>
        <v>0</v>
      </c>
      <c r="J149" s="479">
        <f t="shared" si="37"/>
        <v>0</v>
      </c>
      <c r="K149" s="479"/>
      <c r="L149" s="488"/>
      <c r="M149" s="479">
        <f t="shared" si="38"/>
        <v>0</v>
      </c>
      <c r="N149" s="488"/>
      <c r="O149" s="479">
        <f t="shared" si="39"/>
        <v>0</v>
      </c>
      <c r="P149" s="479">
        <f t="shared" si="40"/>
        <v>0</v>
      </c>
    </row>
    <row r="150" spans="2:16" ht="12.5">
      <c r="B150" s="160" t="str">
        <f t="shared" si="24"/>
        <v/>
      </c>
      <c r="C150" s="473">
        <f>IF(D93="","-",+C149+1)</f>
        <v>2058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3"/>
        <v>0</v>
      </c>
      <c r="G150" s="486">
        <f t="shared" si="34"/>
        <v>0</v>
      </c>
      <c r="H150" s="489">
        <f t="shared" si="35"/>
        <v>0</v>
      </c>
      <c r="I150" s="543">
        <f t="shared" si="36"/>
        <v>0</v>
      </c>
      <c r="J150" s="479">
        <f t="shared" si="37"/>
        <v>0</v>
      </c>
      <c r="K150" s="479"/>
      <c r="L150" s="488"/>
      <c r="M150" s="479">
        <f t="shared" si="38"/>
        <v>0</v>
      </c>
      <c r="N150" s="488"/>
      <c r="O150" s="479">
        <f t="shared" si="39"/>
        <v>0</v>
      </c>
      <c r="P150" s="479">
        <f t="shared" si="40"/>
        <v>0</v>
      </c>
    </row>
    <row r="151" spans="2:16" ht="12.5">
      <c r="B151" s="160" t="str">
        <f t="shared" si="24"/>
        <v/>
      </c>
      <c r="C151" s="473">
        <f>IF(D93="","-",+C150+1)</f>
        <v>2059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3"/>
        <v>0</v>
      </c>
      <c r="G151" s="486">
        <f t="shared" si="34"/>
        <v>0</v>
      </c>
      <c r="H151" s="489">
        <f t="shared" si="35"/>
        <v>0</v>
      </c>
      <c r="I151" s="543">
        <f t="shared" si="36"/>
        <v>0</v>
      </c>
      <c r="J151" s="479">
        <f t="shared" si="37"/>
        <v>0</v>
      </c>
      <c r="K151" s="479"/>
      <c r="L151" s="488"/>
      <c r="M151" s="479">
        <f t="shared" si="38"/>
        <v>0</v>
      </c>
      <c r="N151" s="488"/>
      <c r="O151" s="479">
        <f t="shared" si="39"/>
        <v>0</v>
      </c>
      <c r="P151" s="479">
        <f t="shared" si="40"/>
        <v>0</v>
      </c>
    </row>
    <row r="152" spans="2:16" ht="12.5">
      <c r="B152" s="160" t="str">
        <f t="shared" si="24"/>
        <v/>
      </c>
      <c r="C152" s="473">
        <f>IF(D93="","-",+C151+1)</f>
        <v>2060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3"/>
        <v>0</v>
      </c>
      <c r="G152" s="486">
        <f t="shared" si="34"/>
        <v>0</v>
      </c>
      <c r="H152" s="489">
        <f t="shared" si="35"/>
        <v>0</v>
      </c>
      <c r="I152" s="543">
        <f t="shared" si="36"/>
        <v>0</v>
      </c>
      <c r="J152" s="479">
        <f t="shared" si="37"/>
        <v>0</v>
      </c>
      <c r="K152" s="479"/>
      <c r="L152" s="488"/>
      <c r="M152" s="479">
        <f t="shared" si="38"/>
        <v>0</v>
      </c>
      <c r="N152" s="488"/>
      <c r="O152" s="479">
        <f t="shared" si="39"/>
        <v>0</v>
      </c>
      <c r="P152" s="479">
        <f t="shared" si="40"/>
        <v>0</v>
      </c>
    </row>
    <row r="153" spans="2:16" ht="12.5">
      <c r="B153" s="160" t="str">
        <f t="shared" si="24"/>
        <v/>
      </c>
      <c r="C153" s="473">
        <f>IF(D93="","-",+C152+1)</f>
        <v>2061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3"/>
        <v>0</v>
      </c>
      <c r="G153" s="486">
        <f t="shared" si="34"/>
        <v>0</v>
      </c>
      <c r="H153" s="489">
        <f t="shared" si="35"/>
        <v>0</v>
      </c>
      <c r="I153" s="543">
        <f t="shared" si="36"/>
        <v>0</v>
      </c>
      <c r="J153" s="479">
        <f t="shared" si="37"/>
        <v>0</v>
      </c>
      <c r="K153" s="479"/>
      <c r="L153" s="488"/>
      <c r="M153" s="479">
        <f t="shared" si="38"/>
        <v>0</v>
      </c>
      <c r="N153" s="488"/>
      <c r="O153" s="479">
        <f t="shared" si="39"/>
        <v>0</v>
      </c>
      <c r="P153" s="479">
        <f t="shared" si="40"/>
        <v>0</v>
      </c>
    </row>
    <row r="154" spans="2:16" ht="13" thickBot="1">
      <c r="B154" s="160" t="str">
        <f t="shared" si="24"/>
        <v/>
      </c>
      <c r="C154" s="490">
        <f>IF(D93="","-",+C153+1)</f>
        <v>2062</v>
      </c>
      <c r="D154" s="491">
        <f>IF(F153+SUM(E$99:E153)=D$92,F153,D$92-SUM(E$99:E153))</f>
        <v>0</v>
      </c>
      <c r="E154" s="545">
        <f>IF(+J96&lt;F153,J96,D154)</f>
        <v>0</v>
      </c>
      <c r="F154" s="491">
        <f t="shared" si="33"/>
        <v>0</v>
      </c>
      <c r="G154" s="491">
        <f t="shared" si="34"/>
        <v>0</v>
      </c>
      <c r="H154" s="493">
        <f t="shared" si="35"/>
        <v>0</v>
      </c>
      <c r="I154" s="546">
        <f t="shared" si="36"/>
        <v>0</v>
      </c>
      <c r="J154" s="496">
        <f t="shared" si="37"/>
        <v>0</v>
      </c>
      <c r="K154" s="479"/>
      <c r="L154" s="495"/>
      <c r="M154" s="496">
        <f t="shared" si="38"/>
        <v>0</v>
      </c>
      <c r="N154" s="495"/>
      <c r="O154" s="496">
        <f t="shared" si="39"/>
        <v>0</v>
      </c>
      <c r="P154" s="496">
        <f t="shared" si="40"/>
        <v>0</v>
      </c>
    </row>
    <row r="155" spans="2:16" ht="12.5">
      <c r="C155" s="347" t="s">
        <v>77</v>
      </c>
      <c r="D155" s="348"/>
      <c r="E155" s="348">
        <f>SUM(E99:E154)</f>
        <v>72551</v>
      </c>
      <c r="F155" s="348"/>
      <c r="G155" s="348"/>
      <c r="H155" s="348">
        <f>SUM(H99:H154)</f>
        <v>271665.46449232916</v>
      </c>
      <c r="I155" s="348">
        <f>SUM(I99:I154)</f>
        <v>271665.46449232916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10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11204.44220775155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11204.44220775155</v>
      </c>
      <c r="O6" s="233"/>
      <c r="P6" s="233"/>
    </row>
    <row r="7" spans="1:16" ht="13.5" thickBot="1">
      <c r="C7" s="432" t="s">
        <v>46</v>
      </c>
      <c r="D7" s="565" t="s">
        <v>258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221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96566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2010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2145.911111111111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2010</v>
      </c>
      <c r="D17" s="474">
        <v>135400</v>
      </c>
      <c r="E17" s="475">
        <v>1209</v>
      </c>
      <c r="F17" s="474">
        <v>134191</v>
      </c>
      <c r="G17" s="475">
        <v>20572</v>
      </c>
      <c r="H17" s="482">
        <v>20572</v>
      </c>
      <c r="I17" s="476">
        <f t="shared" ref="I17:I48" si="0">H17-G17</f>
        <v>0</v>
      </c>
      <c r="J17" s="476"/>
      <c r="K17" s="555">
        <f t="shared" ref="K17:K22" si="1">G17</f>
        <v>20572</v>
      </c>
      <c r="L17" s="478">
        <f t="shared" ref="L17:L48" si="2">IF(K17&lt;&gt;0,+G17-K17,0)</f>
        <v>0</v>
      </c>
      <c r="M17" s="555">
        <f t="shared" ref="M17:M22" si="3">H17</f>
        <v>20572</v>
      </c>
      <c r="N17" s="478">
        <f t="shared" ref="N17:N48" si="4">IF(M17&lt;&gt;0,+H17-M17,0)</f>
        <v>0</v>
      </c>
      <c r="O17" s="479">
        <f t="shared" ref="O17:O48" si="5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2011</v>
      </c>
      <c r="D18" s="480">
        <v>95357</v>
      </c>
      <c r="E18" s="481">
        <v>1893.4509803921569</v>
      </c>
      <c r="F18" s="480">
        <v>93463.549019607846</v>
      </c>
      <c r="G18" s="481">
        <v>16524.450980392157</v>
      </c>
      <c r="H18" s="482">
        <v>16524.450980392157</v>
      </c>
      <c r="I18" s="476">
        <f t="shared" si="0"/>
        <v>0</v>
      </c>
      <c r="J18" s="476"/>
      <c r="K18" s="477">
        <f t="shared" si="1"/>
        <v>16524.450980392157</v>
      </c>
      <c r="L18" s="551">
        <f t="shared" si="2"/>
        <v>0</v>
      </c>
      <c r="M18" s="477">
        <f t="shared" si="3"/>
        <v>16524.450980392157</v>
      </c>
      <c r="N18" s="479">
        <f t="shared" si="4"/>
        <v>0</v>
      </c>
      <c r="O18" s="479">
        <f t="shared" si="5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2012</v>
      </c>
      <c r="D19" s="480">
        <v>93463.549019607846</v>
      </c>
      <c r="E19" s="481">
        <v>1857.0384615384614</v>
      </c>
      <c r="F19" s="480">
        <v>91606.510558069378</v>
      </c>
      <c r="G19" s="481">
        <v>14609.038461538461</v>
      </c>
      <c r="H19" s="482">
        <v>14609.038461538461</v>
      </c>
      <c r="I19" s="476">
        <f t="shared" si="0"/>
        <v>0</v>
      </c>
      <c r="J19" s="476"/>
      <c r="K19" s="477">
        <f t="shared" si="1"/>
        <v>14609.038461538461</v>
      </c>
      <c r="L19" s="551">
        <f t="shared" si="2"/>
        <v>0</v>
      </c>
      <c r="M19" s="477">
        <f t="shared" si="3"/>
        <v>14609.038461538461</v>
      </c>
      <c r="N19" s="479">
        <f t="shared" si="4"/>
        <v>0</v>
      </c>
      <c r="O19" s="479">
        <f t="shared" si="5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2013</v>
      </c>
      <c r="D20" s="480">
        <v>91606.510558069378</v>
      </c>
      <c r="E20" s="481">
        <v>1857.0384615384614</v>
      </c>
      <c r="F20" s="480">
        <v>89749.47209653091</v>
      </c>
      <c r="G20" s="481">
        <v>14674.038461538461</v>
      </c>
      <c r="H20" s="482">
        <v>14674.038461538461</v>
      </c>
      <c r="I20" s="476">
        <v>0</v>
      </c>
      <c r="J20" s="476"/>
      <c r="K20" s="477">
        <f t="shared" si="1"/>
        <v>14674.038461538461</v>
      </c>
      <c r="L20" s="551">
        <f t="shared" ref="L20:L25" si="7">IF(K20&lt;&gt;0,+G20-K20,0)</f>
        <v>0</v>
      </c>
      <c r="M20" s="477">
        <f t="shared" si="3"/>
        <v>14674.038461538461</v>
      </c>
      <c r="N20" s="479">
        <f t="shared" ref="N20:N25" si="8">IF(M20&lt;&gt;0,+H20-M20,0)</f>
        <v>0</v>
      </c>
      <c r="O20" s="479">
        <f t="shared" ref="O20:O25" si="9">+N20-L20</f>
        <v>0</v>
      </c>
      <c r="P20" s="243"/>
    </row>
    <row r="21" spans="2:16" ht="12.5">
      <c r="B21" s="160" t="str">
        <f t="shared" si="6"/>
        <v/>
      </c>
      <c r="C21" s="473">
        <f>IF(D11="","-",+C20+1)</f>
        <v>2014</v>
      </c>
      <c r="D21" s="480">
        <v>89749.47209653091</v>
      </c>
      <c r="E21" s="481">
        <v>1857.0384615384614</v>
      </c>
      <c r="F21" s="480">
        <v>87892.433634992442</v>
      </c>
      <c r="G21" s="481">
        <v>13956.038461538461</v>
      </c>
      <c r="H21" s="482">
        <v>13956.038461538461</v>
      </c>
      <c r="I21" s="476">
        <v>0</v>
      </c>
      <c r="J21" s="476"/>
      <c r="K21" s="477">
        <f t="shared" si="1"/>
        <v>13956.038461538461</v>
      </c>
      <c r="L21" s="551">
        <f t="shared" si="7"/>
        <v>0</v>
      </c>
      <c r="M21" s="477">
        <f t="shared" si="3"/>
        <v>13956.038461538461</v>
      </c>
      <c r="N21" s="479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6"/>
        <v/>
      </c>
      <c r="C22" s="473">
        <f>IF(D11="","-",+C21+1)</f>
        <v>2015</v>
      </c>
      <c r="D22" s="480">
        <v>87892.433634992442</v>
      </c>
      <c r="E22" s="481">
        <v>1857.0384615384614</v>
      </c>
      <c r="F22" s="480">
        <v>86035.395173453973</v>
      </c>
      <c r="G22" s="481">
        <v>13719.038461538461</v>
      </c>
      <c r="H22" s="482">
        <v>13719.038461538461</v>
      </c>
      <c r="I22" s="476">
        <v>0</v>
      </c>
      <c r="J22" s="476"/>
      <c r="K22" s="477">
        <f t="shared" si="1"/>
        <v>13719.038461538461</v>
      </c>
      <c r="L22" s="551">
        <f t="shared" si="7"/>
        <v>0</v>
      </c>
      <c r="M22" s="477">
        <f t="shared" si="3"/>
        <v>13719.038461538461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2016</v>
      </c>
      <c r="D23" s="480">
        <v>86035.395173453973</v>
      </c>
      <c r="E23" s="481">
        <v>1857.0384615384614</v>
      </c>
      <c r="F23" s="480">
        <v>84178.356711915505</v>
      </c>
      <c r="G23" s="481">
        <v>12898.038461538461</v>
      </c>
      <c r="H23" s="482">
        <v>12898.038461538461</v>
      </c>
      <c r="I23" s="476">
        <f t="shared" si="0"/>
        <v>0</v>
      </c>
      <c r="J23" s="476"/>
      <c r="K23" s="477">
        <f>G23</f>
        <v>12898.038461538461</v>
      </c>
      <c r="L23" s="551">
        <f t="shared" si="7"/>
        <v>0</v>
      </c>
      <c r="M23" s="477">
        <f>H23</f>
        <v>12898.038461538461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2017</v>
      </c>
      <c r="D24" s="480">
        <v>84178.356711915505</v>
      </c>
      <c r="E24" s="481">
        <v>2099.2608695652175</v>
      </c>
      <c r="F24" s="480">
        <v>82079.095842350289</v>
      </c>
      <c r="G24" s="481">
        <v>12544.260869565218</v>
      </c>
      <c r="H24" s="482">
        <v>12544.260869565218</v>
      </c>
      <c r="I24" s="476">
        <f t="shared" si="0"/>
        <v>0</v>
      </c>
      <c r="J24" s="476"/>
      <c r="K24" s="477">
        <f>G24</f>
        <v>12544.260869565218</v>
      </c>
      <c r="L24" s="551">
        <f t="shared" si="7"/>
        <v>0</v>
      </c>
      <c r="M24" s="477">
        <f>H24</f>
        <v>12544.260869565218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2018</v>
      </c>
      <c r="D25" s="480">
        <v>82079.095842350289</v>
      </c>
      <c r="E25" s="481">
        <v>2145.911111111111</v>
      </c>
      <c r="F25" s="480">
        <v>79933.184731239176</v>
      </c>
      <c r="G25" s="481">
        <v>11847.120662682713</v>
      </c>
      <c r="H25" s="482">
        <v>11847.120662682713</v>
      </c>
      <c r="I25" s="476">
        <f t="shared" si="0"/>
        <v>0</v>
      </c>
      <c r="J25" s="476"/>
      <c r="K25" s="477">
        <f>G25</f>
        <v>11847.120662682713</v>
      </c>
      <c r="L25" s="551">
        <f t="shared" si="7"/>
        <v>0</v>
      </c>
      <c r="M25" s="477">
        <f>H25</f>
        <v>11847.120662682713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2019</v>
      </c>
      <c r="D26" s="480">
        <v>79933.184731239176</v>
      </c>
      <c r="E26" s="481">
        <v>2414.15</v>
      </c>
      <c r="F26" s="480">
        <v>77519.034731239182</v>
      </c>
      <c r="G26" s="481">
        <v>11204.44220775155</v>
      </c>
      <c r="H26" s="482">
        <v>11204.44220775155</v>
      </c>
      <c r="I26" s="476">
        <f t="shared" si="0"/>
        <v>0</v>
      </c>
      <c r="J26" s="476"/>
      <c r="K26" s="477">
        <f>G26</f>
        <v>11204.44220775155</v>
      </c>
      <c r="L26" s="551">
        <f t="shared" ref="L26" si="10">IF(K26&lt;&gt;0,+G26-K26,0)</f>
        <v>0</v>
      </c>
      <c r="M26" s="477">
        <f>H26</f>
        <v>11204.44220775155</v>
      </c>
      <c r="N26" s="479">
        <f t="shared" ref="N26" si="11">IF(M26&lt;&gt;0,+H26-M26,0)</f>
        <v>0</v>
      </c>
      <c r="O26" s="479">
        <f t="shared" ref="O26" si="12">+N26-L26</f>
        <v>0</v>
      </c>
      <c r="P26" s="243"/>
    </row>
    <row r="27" spans="2:16" ht="12.5">
      <c r="B27" s="567" t="str">
        <f t="shared" si="6"/>
        <v/>
      </c>
      <c r="C27" s="473">
        <f>IF(D11="","-",+C26+1)</f>
        <v>2020</v>
      </c>
      <c r="D27" s="484">
        <f>IF(F26+SUM(E$17:E26)=D$10,F26,D$10-SUM(E$17:E26))</f>
        <v>77519.034731239182</v>
      </c>
      <c r="E27" s="485">
        <f>IF(+I14&lt;F26,I14,D27)</f>
        <v>2145.911111111111</v>
      </c>
      <c r="F27" s="486">
        <f t="shared" ref="F27:F48" si="13">+D27-E27</f>
        <v>75373.12362012807</v>
      </c>
      <c r="G27" s="487">
        <f t="shared" ref="G27:G72" si="14">ROUND(I$12*F27,0)+E27</f>
        <v>12346.911111111111</v>
      </c>
      <c r="H27" s="456">
        <f t="shared" ref="H27:H72" si="15">ROUND(I$13*F27,0)+E27</f>
        <v>12346.911111111111</v>
      </c>
      <c r="I27" s="476">
        <f t="shared" si="0"/>
        <v>0</v>
      </c>
      <c r="J27" s="476"/>
      <c r="K27" s="488"/>
      <c r="L27" s="479">
        <f t="shared" si="2"/>
        <v>0</v>
      </c>
      <c r="M27" s="488"/>
      <c r="N27" s="479">
        <f t="shared" si="4"/>
        <v>0</v>
      </c>
      <c r="O27" s="479">
        <f t="shared" si="5"/>
        <v>0</v>
      </c>
      <c r="P27" s="243"/>
    </row>
    <row r="28" spans="2:16" ht="12.5">
      <c r="B28" s="160" t="str">
        <f t="shared" si="6"/>
        <v/>
      </c>
      <c r="C28" s="473">
        <f>IF(D11="","-",+C27+1)</f>
        <v>2021</v>
      </c>
      <c r="D28" s="486">
        <f>IF(F27+SUM(E$17:E27)=D$10,F27,D$10-SUM(E$17:E27))</f>
        <v>75373.12362012807</v>
      </c>
      <c r="E28" s="485">
        <f>IF(+I14&lt;F27,I14,D28)</f>
        <v>2145.911111111111</v>
      </c>
      <c r="F28" s="486">
        <f t="shared" si="13"/>
        <v>73227.212509016957</v>
      </c>
      <c r="G28" s="487">
        <f t="shared" si="14"/>
        <v>12055.911111111111</v>
      </c>
      <c r="H28" s="456">
        <f t="shared" si="15"/>
        <v>12055.911111111111</v>
      </c>
      <c r="I28" s="476">
        <f t="shared" si="0"/>
        <v>0</v>
      </c>
      <c r="J28" s="476"/>
      <c r="K28" s="488"/>
      <c r="L28" s="479">
        <f t="shared" si="2"/>
        <v>0</v>
      </c>
      <c r="M28" s="488"/>
      <c r="N28" s="479">
        <f t="shared" si="4"/>
        <v>0</v>
      </c>
      <c r="O28" s="479">
        <f t="shared" si="5"/>
        <v>0</v>
      </c>
      <c r="P28" s="243"/>
    </row>
    <row r="29" spans="2:16" ht="12.5">
      <c r="B29" s="160" t="str">
        <f t="shared" si="6"/>
        <v/>
      </c>
      <c r="C29" s="473">
        <f>IF(D11="","-",+C28+1)</f>
        <v>2022</v>
      </c>
      <c r="D29" s="486">
        <f>IF(F28+SUM(E$17:E28)=D$10,F28,D$10-SUM(E$17:E28))</f>
        <v>73227.212509016957</v>
      </c>
      <c r="E29" s="485">
        <f>IF(+I14&lt;F28,I14,D29)</f>
        <v>2145.911111111111</v>
      </c>
      <c r="F29" s="486">
        <f t="shared" si="13"/>
        <v>71081.301397905845</v>
      </c>
      <c r="G29" s="487">
        <f t="shared" si="14"/>
        <v>11765.911111111111</v>
      </c>
      <c r="H29" s="456">
        <f t="shared" si="15"/>
        <v>11765.911111111111</v>
      </c>
      <c r="I29" s="476">
        <f t="shared" si="0"/>
        <v>0</v>
      </c>
      <c r="J29" s="476"/>
      <c r="K29" s="488"/>
      <c r="L29" s="479">
        <f t="shared" si="2"/>
        <v>0</v>
      </c>
      <c r="M29" s="488"/>
      <c r="N29" s="479">
        <f t="shared" si="4"/>
        <v>0</v>
      </c>
      <c r="O29" s="479">
        <f t="shared" si="5"/>
        <v>0</v>
      </c>
      <c r="P29" s="243"/>
    </row>
    <row r="30" spans="2:16" ht="12.5">
      <c r="B30" s="160" t="str">
        <f t="shared" si="6"/>
        <v/>
      </c>
      <c r="C30" s="473">
        <f>IF(D11="","-",+C29+1)</f>
        <v>2023</v>
      </c>
      <c r="D30" s="486">
        <f>IF(F29+SUM(E$17:E29)=D$10,F29,D$10-SUM(E$17:E29))</f>
        <v>71081.301397905845</v>
      </c>
      <c r="E30" s="485">
        <f>IF(+I14&lt;F29,I14,D30)</f>
        <v>2145.911111111111</v>
      </c>
      <c r="F30" s="486">
        <f t="shared" si="13"/>
        <v>68935.390286794733</v>
      </c>
      <c r="G30" s="487">
        <f t="shared" si="14"/>
        <v>11474.911111111111</v>
      </c>
      <c r="H30" s="456">
        <f t="shared" si="15"/>
        <v>11474.911111111111</v>
      </c>
      <c r="I30" s="476">
        <f t="shared" si="0"/>
        <v>0</v>
      </c>
      <c r="J30" s="476"/>
      <c r="K30" s="488"/>
      <c r="L30" s="479">
        <f t="shared" si="2"/>
        <v>0</v>
      </c>
      <c r="M30" s="488"/>
      <c r="N30" s="479">
        <f t="shared" si="4"/>
        <v>0</v>
      </c>
      <c r="O30" s="479">
        <f t="shared" si="5"/>
        <v>0</v>
      </c>
      <c r="P30" s="243"/>
    </row>
    <row r="31" spans="2:16" ht="12.5">
      <c r="B31" s="160" t="str">
        <f t="shared" si="6"/>
        <v/>
      </c>
      <c r="C31" s="473">
        <f>IF(D11="","-",+C30+1)</f>
        <v>2024</v>
      </c>
      <c r="D31" s="486">
        <f>IF(F30+SUM(E$17:E30)=D$10,F30,D$10-SUM(E$17:E30))</f>
        <v>68935.390286794733</v>
      </c>
      <c r="E31" s="485">
        <f>IF(+I14&lt;F30,I14,D31)</f>
        <v>2145.911111111111</v>
      </c>
      <c r="F31" s="486">
        <f t="shared" si="13"/>
        <v>66789.47917568362</v>
      </c>
      <c r="G31" s="487">
        <f t="shared" si="14"/>
        <v>11184.911111111111</v>
      </c>
      <c r="H31" s="456">
        <f t="shared" si="15"/>
        <v>11184.911111111111</v>
      </c>
      <c r="I31" s="476">
        <f t="shared" si="0"/>
        <v>0</v>
      </c>
      <c r="J31" s="476"/>
      <c r="K31" s="488"/>
      <c r="L31" s="479">
        <f t="shared" si="2"/>
        <v>0</v>
      </c>
      <c r="M31" s="488"/>
      <c r="N31" s="479">
        <f t="shared" si="4"/>
        <v>0</v>
      </c>
      <c r="O31" s="479">
        <f t="shared" si="5"/>
        <v>0</v>
      </c>
      <c r="P31" s="243"/>
    </row>
    <row r="32" spans="2:16" ht="12.5">
      <c r="B32" s="160" t="str">
        <f t="shared" si="6"/>
        <v/>
      </c>
      <c r="C32" s="473">
        <f>IF(D11="","-",+C31+1)</f>
        <v>2025</v>
      </c>
      <c r="D32" s="486">
        <f>IF(F31+SUM(E$17:E31)=D$10,F31,D$10-SUM(E$17:E31))</f>
        <v>66789.47917568362</v>
      </c>
      <c r="E32" s="485">
        <f>IF(+I14&lt;F31,I14,D32)</f>
        <v>2145.911111111111</v>
      </c>
      <c r="F32" s="486">
        <f t="shared" si="13"/>
        <v>64643.568064572508</v>
      </c>
      <c r="G32" s="487">
        <f t="shared" si="14"/>
        <v>10894.911111111111</v>
      </c>
      <c r="H32" s="456">
        <f t="shared" si="15"/>
        <v>10894.911111111111</v>
      </c>
      <c r="I32" s="476">
        <f t="shared" si="0"/>
        <v>0</v>
      </c>
      <c r="J32" s="476"/>
      <c r="K32" s="488"/>
      <c r="L32" s="479">
        <f t="shared" si="2"/>
        <v>0</v>
      </c>
      <c r="M32" s="488"/>
      <c r="N32" s="479">
        <f t="shared" si="4"/>
        <v>0</v>
      </c>
      <c r="O32" s="479">
        <f t="shared" si="5"/>
        <v>0</v>
      </c>
      <c r="P32" s="243"/>
    </row>
    <row r="33" spans="2:16" ht="12.5">
      <c r="B33" s="160" t="str">
        <f t="shared" si="6"/>
        <v/>
      </c>
      <c r="C33" s="473">
        <f>IF(D11="","-",+C32+1)</f>
        <v>2026</v>
      </c>
      <c r="D33" s="486">
        <f>IF(F32+SUM(E$17:E32)=D$10,F32,D$10-SUM(E$17:E32))</f>
        <v>64643.568064572508</v>
      </c>
      <c r="E33" s="485">
        <f>IF(+I14&lt;F32,I14,D33)</f>
        <v>2145.911111111111</v>
      </c>
      <c r="F33" s="486">
        <f t="shared" si="13"/>
        <v>62497.656953461395</v>
      </c>
      <c r="G33" s="487">
        <f t="shared" si="14"/>
        <v>10603.911111111111</v>
      </c>
      <c r="H33" s="456">
        <f t="shared" si="15"/>
        <v>10603.911111111111</v>
      </c>
      <c r="I33" s="476">
        <f t="shared" si="0"/>
        <v>0</v>
      </c>
      <c r="J33" s="476"/>
      <c r="K33" s="488"/>
      <c r="L33" s="479">
        <f t="shared" si="2"/>
        <v>0</v>
      </c>
      <c r="M33" s="488"/>
      <c r="N33" s="479">
        <f t="shared" si="4"/>
        <v>0</v>
      </c>
      <c r="O33" s="479">
        <f t="shared" si="5"/>
        <v>0</v>
      </c>
      <c r="P33" s="243"/>
    </row>
    <row r="34" spans="2:16" ht="12.5">
      <c r="B34" s="160" t="str">
        <f t="shared" si="6"/>
        <v/>
      </c>
      <c r="C34" s="473">
        <f>IF(D11="","-",+C33+1)</f>
        <v>2027</v>
      </c>
      <c r="D34" s="486">
        <f>IF(F33+SUM(E$17:E33)=D$10,F33,D$10-SUM(E$17:E33))</f>
        <v>62497.656953461395</v>
      </c>
      <c r="E34" s="485">
        <f>IF(+I14&lt;F33,I14,D34)</f>
        <v>2145.911111111111</v>
      </c>
      <c r="F34" s="486">
        <f t="shared" si="13"/>
        <v>60351.745842350283</v>
      </c>
      <c r="G34" s="487">
        <f t="shared" si="14"/>
        <v>10313.911111111111</v>
      </c>
      <c r="H34" s="456">
        <f t="shared" si="15"/>
        <v>10313.911111111111</v>
      </c>
      <c r="I34" s="476">
        <f t="shared" si="0"/>
        <v>0</v>
      </c>
      <c r="J34" s="476"/>
      <c r="K34" s="488"/>
      <c r="L34" s="479">
        <f t="shared" si="2"/>
        <v>0</v>
      </c>
      <c r="M34" s="488"/>
      <c r="N34" s="479">
        <f t="shared" si="4"/>
        <v>0</v>
      </c>
      <c r="O34" s="479">
        <f t="shared" si="5"/>
        <v>0</v>
      </c>
      <c r="P34" s="243"/>
    </row>
    <row r="35" spans="2:16" ht="12.5">
      <c r="B35" s="160" t="str">
        <f t="shared" si="6"/>
        <v/>
      </c>
      <c r="C35" s="473">
        <f>IF(D11="","-",+C34+1)</f>
        <v>2028</v>
      </c>
      <c r="D35" s="486">
        <f>IF(F34+SUM(E$17:E34)=D$10,F34,D$10-SUM(E$17:E34))</f>
        <v>60351.745842350283</v>
      </c>
      <c r="E35" s="485">
        <f>IF(+I14&lt;F34,I14,D35)</f>
        <v>2145.911111111111</v>
      </c>
      <c r="F35" s="486">
        <f t="shared" si="13"/>
        <v>58205.834731239171</v>
      </c>
      <c r="G35" s="487">
        <f t="shared" si="14"/>
        <v>10022.911111111111</v>
      </c>
      <c r="H35" s="456">
        <f t="shared" si="15"/>
        <v>10022.911111111111</v>
      </c>
      <c r="I35" s="476">
        <f t="shared" si="0"/>
        <v>0</v>
      </c>
      <c r="J35" s="476"/>
      <c r="K35" s="488"/>
      <c r="L35" s="479">
        <f t="shared" si="2"/>
        <v>0</v>
      </c>
      <c r="M35" s="488"/>
      <c r="N35" s="479">
        <f t="shared" si="4"/>
        <v>0</v>
      </c>
      <c r="O35" s="479">
        <f t="shared" si="5"/>
        <v>0</v>
      </c>
      <c r="P35" s="243"/>
    </row>
    <row r="36" spans="2:16" ht="12.5">
      <c r="B36" s="160" t="str">
        <f t="shared" si="6"/>
        <v/>
      </c>
      <c r="C36" s="473">
        <f>IF(D11="","-",+C35+1)</f>
        <v>2029</v>
      </c>
      <c r="D36" s="486">
        <f>IF(F35+SUM(E$17:E35)=D$10,F35,D$10-SUM(E$17:E35))</f>
        <v>58205.834731239171</v>
      </c>
      <c r="E36" s="485">
        <f>IF(+I14&lt;F35,I14,D36)</f>
        <v>2145.911111111111</v>
      </c>
      <c r="F36" s="486">
        <f t="shared" si="13"/>
        <v>56059.923620128058</v>
      </c>
      <c r="G36" s="487">
        <f t="shared" si="14"/>
        <v>9732.9111111111106</v>
      </c>
      <c r="H36" s="456">
        <f t="shared" si="15"/>
        <v>9732.9111111111106</v>
      </c>
      <c r="I36" s="476">
        <f t="shared" si="0"/>
        <v>0</v>
      </c>
      <c r="J36" s="476"/>
      <c r="K36" s="488"/>
      <c r="L36" s="479">
        <f t="shared" si="2"/>
        <v>0</v>
      </c>
      <c r="M36" s="488"/>
      <c r="N36" s="479">
        <f t="shared" si="4"/>
        <v>0</v>
      </c>
      <c r="O36" s="479">
        <f t="shared" si="5"/>
        <v>0</v>
      </c>
      <c r="P36" s="243"/>
    </row>
    <row r="37" spans="2:16" ht="12.5">
      <c r="B37" s="160" t="str">
        <f t="shared" si="6"/>
        <v/>
      </c>
      <c r="C37" s="473">
        <f>IF(D11="","-",+C36+1)</f>
        <v>2030</v>
      </c>
      <c r="D37" s="486">
        <f>IF(F36+SUM(E$17:E36)=D$10,F36,D$10-SUM(E$17:E36))</f>
        <v>56059.923620128058</v>
      </c>
      <c r="E37" s="485">
        <f>IF(+I14&lt;F36,I14,D37)</f>
        <v>2145.911111111111</v>
      </c>
      <c r="F37" s="486">
        <f t="shared" si="13"/>
        <v>53914.012509016946</v>
      </c>
      <c r="G37" s="487">
        <f t="shared" si="14"/>
        <v>9441.9111111111106</v>
      </c>
      <c r="H37" s="456">
        <f t="shared" si="15"/>
        <v>9441.9111111111106</v>
      </c>
      <c r="I37" s="476">
        <f t="shared" si="0"/>
        <v>0</v>
      </c>
      <c r="J37" s="476"/>
      <c r="K37" s="488"/>
      <c r="L37" s="479">
        <f t="shared" si="2"/>
        <v>0</v>
      </c>
      <c r="M37" s="488"/>
      <c r="N37" s="479">
        <f t="shared" si="4"/>
        <v>0</v>
      </c>
      <c r="O37" s="479">
        <f t="shared" si="5"/>
        <v>0</v>
      </c>
      <c r="P37" s="243"/>
    </row>
    <row r="38" spans="2:16" ht="12.5">
      <c r="B38" s="160" t="str">
        <f t="shared" si="6"/>
        <v/>
      </c>
      <c r="C38" s="473">
        <f>IF(D11="","-",+C37+1)</f>
        <v>2031</v>
      </c>
      <c r="D38" s="486">
        <f>IF(F37+SUM(E$17:E37)=D$10,F37,D$10-SUM(E$17:E37))</f>
        <v>53914.012509016946</v>
      </c>
      <c r="E38" s="485">
        <f>IF(+I14&lt;F37,I14,D38)</f>
        <v>2145.911111111111</v>
      </c>
      <c r="F38" s="486">
        <f t="shared" si="13"/>
        <v>51768.101397905833</v>
      </c>
      <c r="G38" s="487">
        <f t="shared" si="14"/>
        <v>9151.9111111111106</v>
      </c>
      <c r="H38" s="456">
        <f t="shared" si="15"/>
        <v>9151.9111111111106</v>
      </c>
      <c r="I38" s="476">
        <f t="shared" si="0"/>
        <v>0</v>
      </c>
      <c r="J38" s="476"/>
      <c r="K38" s="488"/>
      <c r="L38" s="479">
        <f t="shared" si="2"/>
        <v>0</v>
      </c>
      <c r="M38" s="488"/>
      <c r="N38" s="479">
        <f t="shared" si="4"/>
        <v>0</v>
      </c>
      <c r="O38" s="479">
        <f t="shared" si="5"/>
        <v>0</v>
      </c>
      <c r="P38" s="243"/>
    </row>
    <row r="39" spans="2:16" ht="12.5">
      <c r="B39" s="160" t="str">
        <f t="shared" si="6"/>
        <v/>
      </c>
      <c r="C39" s="473">
        <f>IF(D11="","-",+C38+1)</f>
        <v>2032</v>
      </c>
      <c r="D39" s="486">
        <f>IF(F38+SUM(E$17:E38)=D$10,F38,D$10-SUM(E$17:E38))</f>
        <v>51768.101397905833</v>
      </c>
      <c r="E39" s="485">
        <f>IF(+I14&lt;F38,I14,D39)</f>
        <v>2145.911111111111</v>
      </c>
      <c r="F39" s="486">
        <f t="shared" si="13"/>
        <v>49622.190286794721</v>
      </c>
      <c r="G39" s="487">
        <f t="shared" si="14"/>
        <v>8861.9111111111106</v>
      </c>
      <c r="H39" s="456">
        <f t="shared" si="15"/>
        <v>8861.9111111111106</v>
      </c>
      <c r="I39" s="476">
        <f t="shared" si="0"/>
        <v>0</v>
      </c>
      <c r="J39" s="476"/>
      <c r="K39" s="488"/>
      <c r="L39" s="479">
        <f t="shared" si="2"/>
        <v>0</v>
      </c>
      <c r="M39" s="488"/>
      <c r="N39" s="479">
        <f t="shared" si="4"/>
        <v>0</v>
      </c>
      <c r="O39" s="479">
        <f t="shared" si="5"/>
        <v>0</v>
      </c>
      <c r="P39" s="243"/>
    </row>
    <row r="40" spans="2:16" ht="12.5">
      <c r="B40" s="160" t="str">
        <f t="shared" si="6"/>
        <v/>
      </c>
      <c r="C40" s="473">
        <f>IF(D11="","-",+C39+1)</f>
        <v>2033</v>
      </c>
      <c r="D40" s="486">
        <f>IF(F39+SUM(E$17:E39)=D$10,F39,D$10-SUM(E$17:E39))</f>
        <v>49622.190286794721</v>
      </c>
      <c r="E40" s="485">
        <f>IF(+I14&lt;F39,I14,D40)</f>
        <v>2145.911111111111</v>
      </c>
      <c r="F40" s="486">
        <f t="shared" si="13"/>
        <v>47476.279175683609</v>
      </c>
      <c r="G40" s="487">
        <f t="shared" si="14"/>
        <v>8570.9111111111106</v>
      </c>
      <c r="H40" s="456">
        <f t="shared" si="15"/>
        <v>8570.9111111111106</v>
      </c>
      <c r="I40" s="476">
        <f t="shared" si="0"/>
        <v>0</v>
      </c>
      <c r="J40" s="476"/>
      <c r="K40" s="488"/>
      <c r="L40" s="479">
        <f t="shared" si="2"/>
        <v>0</v>
      </c>
      <c r="M40" s="488"/>
      <c r="N40" s="479">
        <f t="shared" si="4"/>
        <v>0</v>
      </c>
      <c r="O40" s="479">
        <f t="shared" si="5"/>
        <v>0</v>
      </c>
      <c r="P40" s="243"/>
    </row>
    <row r="41" spans="2:16" ht="12.5">
      <c r="B41" s="160" t="str">
        <f t="shared" si="6"/>
        <v/>
      </c>
      <c r="C41" s="473">
        <f>IF(D11="","-",+C40+1)</f>
        <v>2034</v>
      </c>
      <c r="D41" s="486">
        <f>IF(F40+SUM(E$17:E40)=D$10,F40,D$10-SUM(E$17:E40))</f>
        <v>47476.279175683609</v>
      </c>
      <c r="E41" s="485">
        <f>IF(+I14&lt;F40,I14,D41)</f>
        <v>2145.911111111111</v>
      </c>
      <c r="F41" s="486">
        <f t="shared" si="13"/>
        <v>45330.368064572496</v>
      </c>
      <c r="G41" s="487">
        <f t="shared" si="14"/>
        <v>8280.9111111111106</v>
      </c>
      <c r="H41" s="456">
        <f t="shared" si="15"/>
        <v>8280.9111111111106</v>
      </c>
      <c r="I41" s="476">
        <f t="shared" si="0"/>
        <v>0</v>
      </c>
      <c r="J41" s="476"/>
      <c r="K41" s="488"/>
      <c r="L41" s="479">
        <f t="shared" si="2"/>
        <v>0</v>
      </c>
      <c r="M41" s="488"/>
      <c r="N41" s="479">
        <f t="shared" si="4"/>
        <v>0</v>
      </c>
      <c r="O41" s="479">
        <f t="shared" si="5"/>
        <v>0</v>
      </c>
      <c r="P41" s="243"/>
    </row>
    <row r="42" spans="2:16" ht="12.5">
      <c r="B42" s="160" t="str">
        <f t="shared" si="6"/>
        <v/>
      </c>
      <c r="C42" s="473">
        <f>IF(D11="","-",+C41+1)</f>
        <v>2035</v>
      </c>
      <c r="D42" s="486">
        <f>IF(F41+SUM(E$17:E41)=D$10,F41,D$10-SUM(E$17:E41))</f>
        <v>45330.368064572496</v>
      </c>
      <c r="E42" s="485">
        <f>IF(+I14&lt;F41,I14,D42)</f>
        <v>2145.911111111111</v>
      </c>
      <c r="F42" s="486">
        <f t="shared" si="13"/>
        <v>43184.456953461384</v>
      </c>
      <c r="G42" s="487">
        <f t="shared" si="14"/>
        <v>7989.9111111111106</v>
      </c>
      <c r="H42" s="456">
        <f t="shared" si="15"/>
        <v>7989.9111111111106</v>
      </c>
      <c r="I42" s="476">
        <f t="shared" si="0"/>
        <v>0</v>
      </c>
      <c r="J42" s="476"/>
      <c r="K42" s="488"/>
      <c r="L42" s="479">
        <f t="shared" si="2"/>
        <v>0</v>
      </c>
      <c r="M42" s="488"/>
      <c r="N42" s="479">
        <f t="shared" si="4"/>
        <v>0</v>
      </c>
      <c r="O42" s="479">
        <f t="shared" si="5"/>
        <v>0</v>
      </c>
      <c r="P42" s="243"/>
    </row>
    <row r="43" spans="2:16" ht="12.5">
      <c r="B43" s="160" t="str">
        <f t="shared" si="6"/>
        <v/>
      </c>
      <c r="C43" s="473">
        <f>IF(D11="","-",+C42+1)</f>
        <v>2036</v>
      </c>
      <c r="D43" s="486">
        <f>IF(F42+SUM(E$17:E42)=D$10,F42,D$10-SUM(E$17:E42))</f>
        <v>43184.456953461384</v>
      </c>
      <c r="E43" s="485">
        <f>IF(+I14&lt;F42,I14,D43)</f>
        <v>2145.911111111111</v>
      </c>
      <c r="F43" s="486">
        <f t="shared" si="13"/>
        <v>41038.545842350271</v>
      </c>
      <c r="G43" s="487">
        <f t="shared" si="14"/>
        <v>7699.9111111111106</v>
      </c>
      <c r="H43" s="456">
        <f t="shared" si="15"/>
        <v>7699.9111111111106</v>
      </c>
      <c r="I43" s="476">
        <f t="shared" si="0"/>
        <v>0</v>
      </c>
      <c r="J43" s="476"/>
      <c r="K43" s="488"/>
      <c r="L43" s="479">
        <f t="shared" si="2"/>
        <v>0</v>
      </c>
      <c r="M43" s="488"/>
      <c r="N43" s="479">
        <f t="shared" si="4"/>
        <v>0</v>
      </c>
      <c r="O43" s="479">
        <f t="shared" si="5"/>
        <v>0</v>
      </c>
      <c r="P43" s="243"/>
    </row>
    <row r="44" spans="2:16" ht="12.5">
      <c r="B44" s="160" t="str">
        <f t="shared" si="6"/>
        <v/>
      </c>
      <c r="C44" s="473">
        <f>IF(D11="","-",+C43+1)</f>
        <v>2037</v>
      </c>
      <c r="D44" s="486">
        <f>IF(F43+SUM(E$17:E43)=D$10,F43,D$10-SUM(E$17:E43))</f>
        <v>41038.545842350271</v>
      </c>
      <c r="E44" s="485">
        <f>IF(+I14&lt;F43,I14,D44)</f>
        <v>2145.911111111111</v>
      </c>
      <c r="F44" s="486">
        <f t="shared" si="13"/>
        <v>38892.634731239159</v>
      </c>
      <c r="G44" s="487">
        <f t="shared" si="14"/>
        <v>7409.9111111111106</v>
      </c>
      <c r="H44" s="456">
        <f t="shared" si="15"/>
        <v>7409.9111111111106</v>
      </c>
      <c r="I44" s="476">
        <f t="shared" si="0"/>
        <v>0</v>
      </c>
      <c r="J44" s="476"/>
      <c r="K44" s="488"/>
      <c r="L44" s="479">
        <f t="shared" si="2"/>
        <v>0</v>
      </c>
      <c r="M44" s="488"/>
      <c r="N44" s="479">
        <f t="shared" si="4"/>
        <v>0</v>
      </c>
      <c r="O44" s="479">
        <f t="shared" si="5"/>
        <v>0</v>
      </c>
      <c r="P44" s="243"/>
    </row>
    <row r="45" spans="2:16" ht="12.5">
      <c r="B45" s="160" t="str">
        <f t="shared" si="6"/>
        <v/>
      </c>
      <c r="C45" s="473">
        <f>IF(D11="","-",+C44+1)</f>
        <v>2038</v>
      </c>
      <c r="D45" s="486">
        <f>IF(F44+SUM(E$17:E44)=D$10,F44,D$10-SUM(E$17:E44))</f>
        <v>38892.634731239159</v>
      </c>
      <c r="E45" s="485">
        <f>IF(+I14&lt;F44,I14,D45)</f>
        <v>2145.911111111111</v>
      </c>
      <c r="F45" s="486">
        <f t="shared" si="13"/>
        <v>36746.723620128047</v>
      </c>
      <c r="G45" s="487">
        <f t="shared" si="14"/>
        <v>7118.9111111111106</v>
      </c>
      <c r="H45" s="456">
        <f t="shared" si="15"/>
        <v>7118.9111111111106</v>
      </c>
      <c r="I45" s="476">
        <f t="shared" si="0"/>
        <v>0</v>
      </c>
      <c r="J45" s="476"/>
      <c r="K45" s="488"/>
      <c r="L45" s="479">
        <f t="shared" si="2"/>
        <v>0</v>
      </c>
      <c r="M45" s="488"/>
      <c r="N45" s="479">
        <f t="shared" si="4"/>
        <v>0</v>
      </c>
      <c r="O45" s="479">
        <f t="shared" si="5"/>
        <v>0</v>
      </c>
      <c r="P45" s="243"/>
    </row>
    <row r="46" spans="2:16" ht="12.5">
      <c r="B46" s="160" t="str">
        <f t="shared" si="6"/>
        <v/>
      </c>
      <c r="C46" s="473">
        <f>IF(D11="","-",+C45+1)</f>
        <v>2039</v>
      </c>
      <c r="D46" s="486">
        <f>IF(F45+SUM(E$17:E45)=D$10,F45,D$10-SUM(E$17:E45))</f>
        <v>36746.723620128047</v>
      </c>
      <c r="E46" s="485">
        <f>IF(+I14&lt;F45,I14,D46)</f>
        <v>2145.911111111111</v>
      </c>
      <c r="F46" s="486">
        <f t="shared" si="13"/>
        <v>34600.812509016934</v>
      </c>
      <c r="G46" s="487">
        <f t="shared" si="14"/>
        <v>6828.9111111111106</v>
      </c>
      <c r="H46" s="456">
        <f t="shared" si="15"/>
        <v>6828.9111111111106</v>
      </c>
      <c r="I46" s="476">
        <f t="shared" si="0"/>
        <v>0</v>
      </c>
      <c r="J46" s="476"/>
      <c r="K46" s="488"/>
      <c r="L46" s="479">
        <f t="shared" si="2"/>
        <v>0</v>
      </c>
      <c r="M46" s="488"/>
      <c r="N46" s="479">
        <f t="shared" si="4"/>
        <v>0</v>
      </c>
      <c r="O46" s="479">
        <f t="shared" si="5"/>
        <v>0</v>
      </c>
      <c r="P46" s="243"/>
    </row>
    <row r="47" spans="2:16" ht="12.5">
      <c r="B47" s="160" t="str">
        <f t="shared" si="6"/>
        <v/>
      </c>
      <c r="C47" s="473">
        <f>IF(D11="","-",+C46+1)</f>
        <v>2040</v>
      </c>
      <c r="D47" s="486">
        <f>IF(F46+SUM(E$17:E46)=D$10,F46,D$10-SUM(E$17:E46))</f>
        <v>34600.812509016934</v>
      </c>
      <c r="E47" s="485">
        <f>IF(+I14&lt;F46,I14,D47)</f>
        <v>2145.911111111111</v>
      </c>
      <c r="F47" s="486">
        <f t="shared" si="13"/>
        <v>32454.901397905822</v>
      </c>
      <c r="G47" s="487">
        <f t="shared" si="14"/>
        <v>6537.9111111111106</v>
      </c>
      <c r="H47" s="456">
        <f t="shared" si="15"/>
        <v>6537.9111111111106</v>
      </c>
      <c r="I47" s="476">
        <f t="shared" si="0"/>
        <v>0</v>
      </c>
      <c r="J47" s="476"/>
      <c r="K47" s="488"/>
      <c r="L47" s="479">
        <f t="shared" si="2"/>
        <v>0</v>
      </c>
      <c r="M47" s="488"/>
      <c r="N47" s="479">
        <f t="shared" si="4"/>
        <v>0</v>
      </c>
      <c r="O47" s="479">
        <f t="shared" si="5"/>
        <v>0</v>
      </c>
      <c r="P47" s="243"/>
    </row>
    <row r="48" spans="2:16" ht="12.5">
      <c r="B48" s="160" t="str">
        <f t="shared" si="6"/>
        <v/>
      </c>
      <c r="C48" s="473">
        <f>IF(D11="","-",+C47+1)</f>
        <v>2041</v>
      </c>
      <c r="D48" s="486">
        <f>IF(F47+SUM(E$17:E47)=D$10,F47,D$10-SUM(E$17:E47))</f>
        <v>32454.901397905822</v>
      </c>
      <c r="E48" s="485">
        <f>IF(+I14&lt;F47,I14,D48)</f>
        <v>2145.911111111111</v>
      </c>
      <c r="F48" s="486">
        <f t="shared" si="13"/>
        <v>30308.990286794709</v>
      </c>
      <c r="G48" s="487">
        <f t="shared" si="14"/>
        <v>6247.9111111111106</v>
      </c>
      <c r="H48" s="456">
        <f t="shared" si="15"/>
        <v>6247.9111111111106</v>
      </c>
      <c r="I48" s="476">
        <f t="shared" si="0"/>
        <v>0</v>
      </c>
      <c r="J48" s="476"/>
      <c r="K48" s="488"/>
      <c r="L48" s="479">
        <f t="shared" si="2"/>
        <v>0</v>
      </c>
      <c r="M48" s="488"/>
      <c r="N48" s="479">
        <f t="shared" si="4"/>
        <v>0</v>
      </c>
      <c r="O48" s="479">
        <f t="shared" si="5"/>
        <v>0</v>
      </c>
      <c r="P48" s="243"/>
    </row>
    <row r="49" spans="2:16" ht="12.5">
      <c r="B49" s="160" t="str">
        <f t="shared" si="6"/>
        <v/>
      </c>
      <c r="C49" s="473">
        <f>IF(D11="","-",+C48+1)</f>
        <v>2042</v>
      </c>
      <c r="D49" s="486">
        <f>IF(F48+SUM(E$17:E48)=D$10,F48,D$10-SUM(E$17:E48))</f>
        <v>30308.990286794709</v>
      </c>
      <c r="E49" s="485">
        <f>IF(+I14&lt;F48,I14,D49)</f>
        <v>2145.911111111111</v>
      </c>
      <c r="F49" s="486">
        <f t="shared" ref="F49:F72" si="16">+D49-E49</f>
        <v>28163.079175683597</v>
      </c>
      <c r="G49" s="487">
        <f t="shared" si="14"/>
        <v>5956.9111111111106</v>
      </c>
      <c r="H49" s="456">
        <f t="shared" si="15"/>
        <v>5956.9111111111106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2043</v>
      </c>
      <c r="D50" s="486">
        <f>IF(F49+SUM(E$17:E49)=D$10,F49,D$10-SUM(E$17:E49))</f>
        <v>28163.079175683597</v>
      </c>
      <c r="E50" s="485">
        <f>IF(+I14&lt;F49,I14,D50)</f>
        <v>2145.911111111111</v>
      </c>
      <c r="F50" s="486">
        <f t="shared" si="16"/>
        <v>26017.168064572485</v>
      </c>
      <c r="G50" s="487">
        <f t="shared" si="14"/>
        <v>5666.9111111111106</v>
      </c>
      <c r="H50" s="456">
        <f t="shared" si="15"/>
        <v>5666.9111111111106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2044</v>
      </c>
      <c r="D51" s="486">
        <f>IF(F50+SUM(E$17:E50)=D$10,F50,D$10-SUM(E$17:E50))</f>
        <v>26017.168064572485</v>
      </c>
      <c r="E51" s="485">
        <f>IF(+I14&lt;F50,I14,D51)</f>
        <v>2145.911111111111</v>
      </c>
      <c r="F51" s="486">
        <f t="shared" si="16"/>
        <v>23871.256953461372</v>
      </c>
      <c r="G51" s="487">
        <f t="shared" si="14"/>
        <v>5376.9111111111106</v>
      </c>
      <c r="H51" s="456">
        <f t="shared" si="15"/>
        <v>5376.9111111111106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2045</v>
      </c>
      <c r="D52" s="486">
        <f>IF(F51+SUM(E$17:E51)=D$10,F51,D$10-SUM(E$17:E51))</f>
        <v>23871.256953461372</v>
      </c>
      <c r="E52" s="485">
        <f>IF(+I14&lt;F51,I14,D52)</f>
        <v>2145.911111111111</v>
      </c>
      <c r="F52" s="486">
        <f t="shared" si="16"/>
        <v>21725.34584235026</v>
      </c>
      <c r="G52" s="487">
        <f t="shared" si="14"/>
        <v>5085.9111111111106</v>
      </c>
      <c r="H52" s="456">
        <f t="shared" si="15"/>
        <v>5085.9111111111106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2046</v>
      </c>
      <c r="D53" s="486">
        <f>IF(F52+SUM(E$17:E52)=D$10,F52,D$10-SUM(E$17:E52))</f>
        <v>21725.34584235026</v>
      </c>
      <c r="E53" s="485">
        <f>IF(+I14&lt;F52,I14,D53)</f>
        <v>2145.911111111111</v>
      </c>
      <c r="F53" s="486">
        <f t="shared" si="16"/>
        <v>19579.434731239147</v>
      </c>
      <c r="G53" s="487">
        <f t="shared" si="14"/>
        <v>4795.9111111111106</v>
      </c>
      <c r="H53" s="456">
        <f t="shared" si="15"/>
        <v>4795.9111111111106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2047</v>
      </c>
      <c r="D54" s="486">
        <f>IF(F53+SUM(E$17:E53)=D$10,F53,D$10-SUM(E$17:E53))</f>
        <v>19579.434731239147</v>
      </c>
      <c r="E54" s="485">
        <f>IF(+I14&lt;F53,I14,D54)</f>
        <v>2145.911111111111</v>
      </c>
      <c r="F54" s="486">
        <f t="shared" si="16"/>
        <v>17433.523620128035</v>
      </c>
      <c r="G54" s="487">
        <f t="shared" si="14"/>
        <v>4504.9111111111106</v>
      </c>
      <c r="H54" s="456">
        <f t="shared" si="15"/>
        <v>4504.9111111111106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2048</v>
      </c>
      <c r="D55" s="486">
        <f>IF(F54+SUM(E$17:E54)=D$10,F54,D$10-SUM(E$17:E54))</f>
        <v>17433.523620128035</v>
      </c>
      <c r="E55" s="485">
        <f>IF(+I14&lt;F54,I14,D55)</f>
        <v>2145.911111111111</v>
      </c>
      <c r="F55" s="486">
        <f t="shared" si="16"/>
        <v>15287.612509016924</v>
      </c>
      <c r="G55" s="487">
        <f t="shared" si="14"/>
        <v>4214.9111111111106</v>
      </c>
      <c r="H55" s="456">
        <f t="shared" si="15"/>
        <v>4214.9111111111106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2049</v>
      </c>
      <c r="D56" s="486">
        <f>IF(F55+SUM(E$17:E55)=D$10,F55,D$10-SUM(E$17:E55))</f>
        <v>15287.612509016924</v>
      </c>
      <c r="E56" s="485">
        <f>IF(+I14&lt;F55,I14,D56)</f>
        <v>2145.911111111111</v>
      </c>
      <c r="F56" s="486">
        <f t="shared" si="16"/>
        <v>13141.701397905814</v>
      </c>
      <c r="G56" s="487">
        <f t="shared" si="14"/>
        <v>3924.911111111111</v>
      </c>
      <c r="H56" s="456">
        <f t="shared" si="15"/>
        <v>3924.911111111111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2050</v>
      </c>
      <c r="D57" s="486">
        <f>IF(F56+SUM(E$17:E56)=D$10,F56,D$10-SUM(E$17:E56))</f>
        <v>13141.701397905814</v>
      </c>
      <c r="E57" s="485">
        <f>IF(+I14&lt;F56,I14,D57)</f>
        <v>2145.911111111111</v>
      </c>
      <c r="F57" s="486">
        <f t="shared" si="16"/>
        <v>10995.790286794703</v>
      </c>
      <c r="G57" s="487">
        <f t="shared" si="14"/>
        <v>3633.911111111111</v>
      </c>
      <c r="H57" s="456">
        <f t="shared" si="15"/>
        <v>3633.911111111111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2051</v>
      </c>
      <c r="D58" s="486">
        <f>IF(F57+SUM(E$17:E57)=D$10,F57,D$10-SUM(E$17:E57))</f>
        <v>10995.790286794703</v>
      </c>
      <c r="E58" s="485">
        <f>IF(+I14&lt;F57,I14,D58)</f>
        <v>2145.911111111111</v>
      </c>
      <c r="F58" s="486">
        <f t="shared" si="16"/>
        <v>8849.8791756835926</v>
      </c>
      <c r="G58" s="487">
        <f t="shared" si="14"/>
        <v>3343.911111111111</v>
      </c>
      <c r="H58" s="456">
        <f t="shared" si="15"/>
        <v>3343.911111111111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2052</v>
      </c>
      <c r="D59" s="486">
        <f>IF(F58+SUM(E$17:E58)=D$10,F58,D$10-SUM(E$17:E58))</f>
        <v>8849.8791756835926</v>
      </c>
      <c r="E59" s="485">
        <f>IF(+I14&lt;F58,I14,D59)</f>
        <v>2145.911111111111</v>
      </c>
      <c r="F59" s="486">
        <f t="shared" si="16"/>
        <v>6703.968064572482</v>
      </c>
      <c r="G59" s="487">
        <f t="shared" si="14"/>
        <v>3052.911111111111</v>
      </c>
      <c r="H59" s="456">
        <f t="shared" si="15"/>
        <v>3052.911111111111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2053</v>
      </c>
      <c r="D60" s="486">
        <f>IF(F59+SUM(E$17:E59)=D$10,F59,D$10-SUM(E$17:E59))</f>
        <v>6703.968064572482</v>
      </c>
      <c r="E60" s="485">
        <f>IF(+I14&lt;F59,I14,D60)</f>
        <v>2145.911111111111</v>
      </c>
      <c r="F60" s="486">
        <f t="shared" si="16"/>
        <v>4558.0569534613714</v>
      </c>
      <c r="G60" s="487">
        <f t="shared" si="14"/>
        <v>2762.911111111111</v>
      </c>
      <c r="H60" s="456">
        <f t="shared" si="15"/>
        <v>2762.911111111111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2054</v>
      </c>
      <c r="D61" s="486">
        <f>IF(F60+SUM(E$17:E60)=D$10,F60,D$10-SUM(E$17:E60))</f>
        <v>4558.0569534613714</v>
      </c>
      <c r="E61" s="485">
        <f>IF(+I14&lt;F60,I14,D61)</f>
        <v>2145.911111111111</v>
      </c>
      <c r="F61" s="486">
        <f t="shared" si="16"/>
        <v>2412.1458423502604</v>
      </c>
      <c r="G61" s="489">
        <f t="shared" si="14"/>
        <v>2471.911111111111</v>
      </c>
      <c r="H61" s="456">
        <f t="shared" si="15"/>
        <v>2471.911111111111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2055</v>
      </c>
      <c r="D62" s="486">
        <f>IF(F61+SUM(E$17:E61)=D$10,F61,D$10-SUM(E$17:E61))</f>
        <v>2412.1458423502604</v>
      </c>
      <c r="E62" s="485">
        <f>IF(+I14&lt;F61,I14,D62)</f>
        <v>2145.911111111111</v>
      </c>
      <c r="F62" s="486">
        <f t="shared" si="16"/>
        <v>266.23473123914937</v>
      </c>
      <c r="G62" s="489">
        <f t="shared" si="14"/>
        <v>2181.911111111111</v>
      </c>
      <c r="H62" s="456">
        <f t="shared" si="15"/>
        <v>2181.911111111111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2056</v>
      </c>
      <c r="D63" s="486">
        <f>IF(F62+SUM(E$17:E62)=D$10,F62,D$10-SUM(E$17:E62))</f>
        <v>266.23473123914937</v>
      </c>
      <c r="E63" s="485">
        <f>IF(+I14&lt;F62,I14,D63)</f>
        <v>266.23473123914937</v>
      </c>
      <c r="F63" s="486">
        <f t="shared" si="16"/>
        <v>0</v>
      </c>
      <c r="G63" s="489">
        <f t="shared" si="14"/>
        <v>266.23473123914937</v>
      </c>
      <c r="H63" s="456">
        <f t="shared" si="15"/>
        <v>266.23473123914937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2057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9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566" t="str">
        <f t="shared" si="6"/>
        <v/>
      </c>
      <c r="C65" s="473">
        <f>IF(D11="","-",+C64+1)</f>
        <v>2058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6"/>
        <v/>
      </c>
      <c r="C66" s="473">
        <f>IF(D11="","-",+C65+1)</f>
        <v>2059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6"/>
        <v/>
      </c>
      <c r="C67" s="473">
        <f>IF(D11="","-",+C66+1)</f>
        <v>2060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6"/>
        <v/>
      </c>
      <c r="C68" s="473">
        <f>IF(D11="","-",+C67+1)</f>
        <v>2061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6"/>
        <v/>
      </c>
      <c r="C69" s="473">
        <f>IF(D11="","-",+C68+1)</f>
        <v>2062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6"/>
        <v/>
      </c>
      <c r="C70" s="473">
        <f>IF(D11="","-",+C69+1)</f>
        <v>2063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6"/>
        <v/>
      </c>
      <c r="C71" s="473">
        <f>IF(D11="","-",+C70+1)</f>
        <v>2064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2065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14"/>
        <v>0</v>
      </c>
      <c r="H72" s="436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96565.999999999985</v>
      </c>
      <c r="F73" s="348"/>
      <c r="G73" s="348">
        <f>SUM(G17:G72)</f>
        <v>404327.50175932318</v>
      </c>
      <c r="H73" s="348">
        <f>SUM(H17:H72)</f>
        <v>404327.50175932318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10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11204.44220775155</v>
      </c>
      <c r="N87" s="509">
        <f>IF(J92&lt;D11,0,VLOOKUP(J92,C17:O72,11))</f>
        <v>11204.44220775155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10471.414334884656</v>
      </c>
      <c r="N88" s="513">
        <f>IF(J92&lt;D11,0,VLOOKUP(J92,C99:P154,7))</f>
        <v>10471.414334884656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Wavetrap Clinton City-Foss Tap 69kV Ckt 1*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-733.02787286689454</v>
      </c>
      <c r="N89" s="518">
        <f>+N88-N87</f>
        <v>-733.02787286689454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TP2009011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96566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2010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2355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2010</v>
      </c>
      <c r="D99" s="474">
        <v>0</v>
      </c>
      <c r="E99" s="481">
        <v>946.5</v>
      </c>
      <c r="F99" s="480">
        <v>95619.5</v>
      </c>
      <c r="G99" s="538">
        <v>47809.75</v>
      </c>
      <c r="H99" s="539">
        <v>8635.0355480484341</v>
      </c>
      <c r="I99" s="540">
        <v>8635.0355480484341</v>
      </c>
      <c r="J99" s="479">
        <f t="shared" ref="J99:J130" si="21">+I99-H99</f>
        <v>0</v>
      </c>
      <c r="K99" s="479"/>
      <c r="L99" s="568">
        <f t="shared" ref="L99:L104" si="22">H99</f>
        <v>8635.0355480484341</v>
      </c>
      <c r="M99" s="569">
        <f t="shared" ref="M99:M130" si="23">IF(L99&lt;&gt;0,+H99-L99,0)</f>
        <v>0</v>
      </c>
      <c r="N99" s="568">
        <f t="shared" ref="N99:N104" si="24">I99</f>
        <v>8635.0355480484341</v>
      </c>
      <c r="O99" s="478">
        <f t="shared" ref="O99:O130" si="25">IF(N99&lt;&gt;0,+I99-N99,0)</f>
        <v>0</v>
      </c>
      <c r="P99" s="478">
        <f t="shared" ref="P99:P130" si="26">+O99-M99</f>
        <v>0</v>
      </c>
    </row>
    <row r="100" spans="1:16" ht="12.5">
      <c r="B100" s="160" t="str">
        <f>IF(D100=F99,"","IU")</f>
        <v/>
      </c>
      <c r="C100" s="473">
        <f>IF(D93="","-",+C99+1)</f>
        <v>2011</v>
      </c>
      <c r="D100" s="474">
        <v>95619.5</v>
      </c>
      <c r="E100" s="481">
        <v>1857</v>
      </c>
      <c r="F100" s="480">
        <v>93762.5</v>
      </c>
      <c r="G100" s="480">
        <v>94691</v>
      </c>
      <c r="H100" s="481">
        <v>15096.07425133265</v>
      </c>
      <c r="I100" s="482">
        <v>15096.07425133265</v>
      </c>
      <c r="J100" s="479">
        <f t="shared" si="21"/>
        <v>0</v>
      </c>
      <c r="K100" s="479"/>
      <c r="L100" s="541">
        <f t="shared" si="22"/>
        <v>15096.07425133265</v>
      </c>
      <c r="M100" s="542">
        <f t="shared" si="23"/>
        <v>0</v>
      </c>
      <c r="N100" s="541">
        <f t="shared" si="24"/>
        <v>15096.07425133265</v>
      </c>
      <c r="O100" s="479">
        <f t="shared" si="25"/>
        <v>0</v>
      </c>
      <c r="P100" s="479">
        <f t="shared" si="26"/>
        <v>0</v>
      </c>
    </row>
    <row r="101" spans="1:16" ht="12.5">
      <c r="B101" s="160" t="str">
        <f t="shared" ref="B101:B154" si="27">IF(D101=F100,"","IU")</f>
        <v/>
      </c>
      <c r="C101" s="473">
        <f>IF(D93="","-",+C100+1)</f>
        <v>2012</v>
      </c>
      <c r="D101" s="474">
        <v>93762.5</v>
      </c>
      <c r="E101" s="481">
        <v>1857</v>
      </c>
      <c r="F101" s="480">
        <v>91905.5</v>
      </c>
      <c r="G101" s="480">
        <v>92834</v>
      </c>
      <c r="H101" s="481">
        <v>15211.679797187964</v>
      </c>
      <c r="I101" s="482">
        <v>15211.679797187964</v>
      </c>
      <c r="J101" s="479">
        <v>0</v>
      </c>
      <c r="K101" s="479"/>
      <c r="L101" s="541">
        <f t="shared" si="22"/>
        <v>15211.679797187964</v>
      </c>
      <c r="M101" s="542">
        <f t="shared" ref="M101:M106" si="28">IF(L101&lt;&gt;0,+H101-L101,0)</f>
        <v>0</v>
      </c>
      <c r="N101" s="541">
        <f t="shared" si="24"/>
        <v>15211.679797187964</v>
      </c>
      <c r="O101" s="479">
        <f t="shared" ref="O101:O106" si="29">IF(N101&lt;&gt;0,+I101-N101,0)</f>
        <v>0</v>
      </c>
      <c r="P101" s="479">
        <f t="shared" ref="P101:P106" si="30">+O101-M101</f>
        <v>0</v>
      </c>
    </row>
    <row r="102" spans="1:16" ht="12.5">
      <c r="B102" s="160" t="str">
        <f t="shared" si="27"/>
        <v/>
      </c>
      <c r="C102" s="473">
        <f>IF(D93="","-",+C101+1)</f>
        <v>2013</v>
      </c>
      <c r="D102" s="474">
        <v>91905.5</v>
      </c>
      <c r="E102" s="481">
        <v>1857</v>
      </c>
      <c r="F102" s="480">
        <v>90048.5</v>
      </c>
      <c r="G102" s="480">
        <v>90977</v>
      </c>
      <c r="H102" s="481">
        <v>14952.192437840908</v>
      </c>
      <c r="I102" s="482">
        <v>14952.192437840908</v>
      </c>
      <c r="J102" s="479">
        <v>0</v>
      </c>
      <c r="K102" s="479"/>
      <c r="L102" s="541">
        <f t="shared" si="22"/>
        <v>14952.192437840908</v>
      </c>
      <c r="M102" s="542">
        <f t="shared" si="28"/>
        <v>0</v>
      </c>
      <c r="N102" s="541">
        <f t="shared" si="24"/>
        <v>14952.192437840908</v>
      </c>
      <c r="O102" s="479">
        <f t="shared" si="29"/>
        <v>0</v>
      </c>
      <c r="P102" s="479">
        <f t="shared" si="30"/>
        <v>0</v>
      </c>
    </row>
    <row r="103" spans="1:16" ht="12.5">
      <c r="B103" s="160" t="str">
        <f t="shared" si="27"/>
        <v/>
      </c>
      <c r="C103" s="473">
        <f>IF(D93="","-",+C102+1)</f>
        <v>2014</v>
      </c>
      <c r="D103" s="474">
        <v>90048.5</v>
      </c>
      <c r="E103" s="481">
        <v>1857</v>
      </c>
      <c r="F103" s="480">
        <v>88191.5</v>
      </c>
      <c r="G103" s="480">
        <v>89120</v>
      </c>
      <c r="H103" s="481">
        <v>14386.907699066522</v>
      </c>
      <c r="I103" s="482">
        <v>14386.907699066522</v>
      </c>
      <c r="J103" s="479">
        <v>0</v>
      </c>
      <c r="K103" s="479"/>
      <c r="L103" s="541">
        <f t="shared" si="22"/>
        <v>14386.907699066522</v>
      </c>
      <c r="M103" s="542">
        <f t="shared" si="28"/>
        <v>0</v>
      </c>
      <c r="N103" s="541">
        <f t="shared" si="24"/>
        <v>14386.907699066522</v>
      </c>
      <c r="O103" s="479">
        <f t="shared" si="29"/>
        <v>0</v>
      </c>
      <c r="P103" s="479">
        <f t="shared" si="30"/>
        <v>0</v>
      </c>
    </row>
    <row r="104" spans="1:16" ht="12.5">
      <c r="B104" s="160" t="str">
        <f t="shared" si="27"/>
        <v/>
      </c>
      <c r="C104" s="473">
        <f>IF(D93="","-",+C103+1)</f>
        <v>2015</v>
      </c>
      <c r="D104" s="474">
        <v>88191.5</v>
      </c>
      <c r="E104" s="481">
        <v>1857</v>
      </c>
      <c r="F104" s="480">
        <v>86334.5</v>
      </c>
      <c r="G104" s="480">
        <v>87263</v>
      </c>
      <c r="H104" s="481">
        <v>13763.334720904193</v>
      </c>
      <c r="I104" s="482">
        <v>13763.334720904193</v>
      </c>
      <c r="J104" s="479">
        <f t="shared" si="21"/>
        <v>0</v>
      </c>
      <c r="K104" s="479"/>
      <c r="L104" s="541">
        <f t="shared" si="22"/>
        <v>13763.334720904193</v>
      </c>
      <c r="M104" s="542">
        <f t="shared" si="28"/>
        <v>0</v>
      </c>
      <c r="N104" s="541">
        <f t="shared" si="24"/>
        <v>13763.334720904193</v>
      </c>
      <c r="O104" s="479">
        <f t="shared" si="29"/>
        <v>0</v>
      </c>
      <c r="P104" s="479">
        <f t="shared" si="30"/>
        <v>0</v>
      </c>
    </row>
    <row r="105" spans="1:16" ht="12.5">
      <c r="B105" s="160" t="str">
        <f t="shared" si="27"/>
        <v/>
      </c>
      <c r="C105" s="473">
        <f>IF(D93="","-",+C104+1)</f>
        <v>2016</v>
      </c>
      <c r="D105" s="474">
        <v>86334.5</v>
      </c>
      <c r="E105" s="481">
        <v>2099</v>
      </c>
      <c r="F105" s="480">
        <v>84235.5</v>
      </c>
      <c r="G105" s="480">
        <v>85285</v>
      </c>
      <c r="H105" s="481">
        <v>13093.579642748955</v>
      </c>
      <c r="I105" s="482">
        <v>13093.579642748955</v>
      </c>
      <c r="J105" s="479">
        <f t="shared" si="21"/>
        <v>0</v>
      </c>
      <c r="K105" s="479"/>
      <c r="L105" s="541">
        <f>H105</f>
        <v>13093.579642748955</v>
      </c>
      <c r="M105" s="542">
        <f t="shared" si="28"/>
        <v>0</v>
      </c>
      <c r="N105" s="541">
        <f>I105</f>
        <v>13093.579642748955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7"/>
        <v/>
      </c>
      <c r="C106" s="473">
        <f>IF(D93="","-",+C105+1)</f>
        <v>2017</v>
      </c>
      <c r="D106" s="474">
        <v>84235.5</v>
      </c>
      <c r="E106" s="481">
        <v>2099</v>
      </c>
      <c r="F106" s="480">
        <v>82136.5</v>
      </c>
      <c r="G106" s="480">
        <v>83186</v>
      </c>
      <c r="H106" s="481">
        <v>12651.353853573521</v>
      </c>
      <c r="I106" s="482">
        <v>12651.353853573521</v>
      </c>
      <c r="J106" s="479">
        <f t="shared" si="21"/>
        <v>0</v>
      </c>
      <c r="K106" s="479"/>
      <c r="L106" s="541">
        <f>H106</f>
        <v>12651.353853573521</v>
      </c>
      <c r="M106" s="542">
        <f t="shared" si="28"/>
        <v>0</v>
      </c>
      <c r="N106" s="541">
        <f>I106</f>
        <v>12651.353853573521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7"/>
        <v/>
      </c>
      <c r="C107" s="473">
        <f>IF(D93="","-",+C106+1)</f>
        <v>2018</v>
      </c>
      <c r="D107" s="474">
        <v>82136.5</v>
      </c>
      <c r="E107" s="481">
        <v>2246</v>
      </c>
      <c r="F107" s="480">
        <v>79890.5</v>
      </c>
      <c r="G107" s="480">
        <v>81013.5</v>
      </c>
      <c r="H107" s="481">
        <v>10568.967843132519</v>
      </c>
      <c r="I107" s="482">
        <v>10568.967843132519</v>
      </c>
      <c r="J107" s="479">
        <f t="shared" si="21"/>
        <v>0</v>
      </c>
      <c r="K107" s="479"/>
      <c r="L107" s="541">
        <f>H107</f>
        <v>10568.967843132519</v>
      </c>
      <c r="M107" s="542">
        <f t="shared" ref="M107" si="31">IF(L107&lt;&gt;0,+H107-L107,0)</f>
        <v>0</v>
      </c>
      <c r="N107" s="541">
        <f>I107</f>
        <v>10568.967843132519</v>
      </c>
      <c r="O107" s="479">
        <f t="shared" ref="O107" si="32">IF(N107&lt;&gt;0,+I107-N107,0)</f>
        <v>0</v>
      </c>
      <c r="P107" s="479">
        <f t="shared" ref="P107" si="33">+O107-M107</f>
        <v>0</v>
      </c>
    </row>
    <row r="108" spans="1:16" ht="12.5">
      <c r="B108" s="160" t="str">
        <f t="shared" si="27"/>
        <v/>
      </c>
      <c r="C108" s="473">
        <f>IF(D93="","-",+C107+1)</f>
        <v>2019</v>
      </c>
      <c r="D108" s="347">
        <f>IF(F107+SUM(E$99:E107)=D$92,F107,D$92-SUM(E$99:E107))</f>
        <v>79890.5</v>
      </c>
      <c r="E108" s="487">
        <f>IF(+J96&lt;F107,J96,D108)</f>
        <v>2355</v>
      </c>
      <c r="F108" s="486">
        <f t="shared" ref="F108:F129" si="34">+D108-E108</f>
        <v>77535.5</v>
      </c>
      <c r="G108" s="486">
        <f t="shared" ref="G108:G129" si="35">+(F108+D108)/2</f>
        <v>78713</v>
      </c>
      <c r="H108" s="489">
        <f t="shared" ref="H108:H130" si="36">+J$94*G108+E108</f>
        <v>10471.414334884656</v>
      </c>
      <c r="I108" s="543">
        <f t="shared" ref="I108:I130" si="37">+J$95*G108+E108</f>
        <v>10471.414334884656</v>
      </c>
      <c r="J108" s="479">
        <f t="shared" si="21"/>
        <v>0</v>
      </c>
      <c r="K108" s="479"/>
      <c r="L108" s="488"/>
      <c r="M108" s="479">
        <f t="shared" si="23"/>
        <v>0</v>
      </c>
      <c r="N108" s="488"/>
      <c r="O108" s="479">
        <f t="shared" si="25"/>
        <v>0</v>
      </c>
      <c r="P108" s="479">
        <f t="shared" si="26"/>
        <v>0</v>
      </c>
    </row>
    <row r="109" spans="1:16" ht="12.5">
      <c r="B109" s="160" t="str">
        <f t="shared" si="27"/>
        <v/>
      </c>
      <c r="C109" s="473">
        <f>IF(D93="","-",+C108+1)</f>
        <v>2020</v>
      </c>
      <c r="D109" s="347">
        <f>IF(F108+SUM(E$99:E108)=D$92,F108,D$92-SUM(E$99:E108))</f>
        <v>77535.5</v>
      </c>
      <c r="E109" s="487">
        <f>IF(+J96&lt;F108,J96,D109)</f>
        <v>2355</v>
      </c>
      <c r="F109" s="486">
        <f t="shared" si="34"/>
        <v>75180.5</v>
      </c>
      <c r="G109" s="486">
        <f t="shared" si="35"/>
        <v>76358</v>
      </c>
      <c r="H109" s="489">
        <f t="shared" si="36"/>
        <v>10228.580803464771</v>
      </c>
      <c r="I109" s="543">
        <f t="shared" si="37"/>
        <v>10228.580803464771</v>
      </c>
      <c r="J109" s="479">
        <f t="shared" si="21"/>
        <v>0</v>
      </c>
      <c r="K109" s="479"/>
      <c r="L109" s="488"/>
      <c r="M109" s="479">
        <f t="shared" si="23"/>
        <v>0</v>
      </c>
      <c r="N109" s="488"/>
      <c r="O109" s="479">
        <f t="shared" si="25"/>
        <v>0</v>
      </c>
      <c r="P109" s="479">
        <f t="shared" si="26"/>
        <v>0</v>
      </c>
    </row>
    <row r="110" spans="1:16" ht="12.5">
      <c r="B110" s="160" t="str">
        <f t="shared" si="27"/>
        <v/>
      </c>
      <c r="C110" s="473">
        <f>IF(D93="","-",+C109+1)</f>
        <v>2021</v>
      </c>
      <c r="D110" s="347">
        <f>IF(F109+SUM(E$99:E109)=D$92,F109,D$92-SUM(E$99:E109))</f>
        <v>75180.5</v>
      </c>
      <c r="E110" s="487">
        <f>IF(+J96&lt;F109,J96,D110)</f>
        <v>2355</v>
      </c>
      <c r="F110" s="486">
        <f t="shared" si="34"/>
        <v>72825.5</v>
      </c>
      <c r="G110" s="486">
        <f t="shared" si="35"/>
        <v>74003</v>
      </c>
      <c r="H110" s="489">
        <f t="shared" si="36"/>
        <v>9985.7472720448859</v>
      </c>
      <c r="I110" s="543">
        <f t="shared" si="37"/>
        <v>9985.7472720448859</v>
      </c>
      <c r="J110" s="479">
        <f t="shared" si="21"/>
        <v>0</v>
      </c>
      <c r="K110" s="479"/>
      <c r="L110" s="488"/>
      <c r="M110" s="479">
        <f t="shared" si="23"/>
        <v>0</v>
      </c>
      <c r="N110" s="488"/>
      <c r="O110" s="479">
        <f t="shared" si="25"/>
        <v>0</v>
      </c>
      <c r="P110" s="479">
        <f t="shared" si="26"/>
        <v>0</v>
      </c>
    </row>
    <row r="111" spans="1:16" ht="12.5">
      <c r="B111" s="160" t="str">
        <f t="shared" si="27"/>
        <v/>
      </c>
      <c r="C111" s="473">
        <f>IF(D93="","-",+C110+1)</f>
        <v>2022</v>
      </c>
      <c r="D111" s="347">
        <f>IF(F110+SUM(E$99:E110)=D$92,F110,D$92-SUM(E$99:E110))</f>
        <v>72825.5</v>
      </c>
      <c r="E111" s="487">
        <f>IF(+J96&lt;F110,J96,D111)</f>
        <v>2355</v>
      </c>
      <c r="F111" s="486">
        <f t="shared" si="34"/>
        <v>70470.5</v>
      </c>
      <c r="G111" s="486">
        <f t="shared" si="35"/>
        <v>71648</v>
      </c>
      <c r="H111" s="489">
        <f t="shared" si="36"/>
        <v>9742.9137406250011</v>
      </c>
      <c r="I111" s="543">
        <f t="shared" si="37"/>
        <v>9742.9137406250011</v>
      </c>
      <c r="J111" s="479">
        <f t="shared" si="21"/>
        <v>0</v>
      </c>
      <c r="K111" s="479"/>
      <c r="L111" s="488"/>
      <c r="M111" s="479">
        <f t="shared" si="23"/>
        <v>0</v>
      </c>
      <c r="N111" s="488"/>
      <c r="O111" s="479">
        <f t="shared" si="25"/>
        <v>0</v>
      </c>
      <c r="P111" s="479">
        <f t="shared" si="26"/>
        <v>0</v>
      </c>
    </row>
    <row r="112" spans="1:16" ht="12.5">
      <c r="B112" s="160" t="str">
        <f t="shared" si="27"/>
        <v/>
      </c>
      <c r="C112" s="473">
        <f>IF(D93="","-",+C111+1)</f>
        <v>2023</v>
      </c>
      <c r="D112" s="347">
        <f>IF(F111+SUM(E$99:E111)=D$92,F111,D$92-SUM(E$99:E111))</f>
        <v>70470.5</v>
      </c>
      <c r="E112" s="487">
        <f>IF(+J96&lt;F111,J96,D112)</f>
        <v>2355</v>
      </c>
      <c r="F112" s="486">
        <f t="shared" si="34"/>
        <v>68115.5</v>
      </c>
      <c r="G112" s="486">
        <f t="shared" si="35"/>
        <v>69293</v>
      </c>
      <c r="H112" s="489">
        <f t="shared" si="36"/>
        <v>9500.0802092051163</v>
      </c>
      <c r="I112" s="543">
        <f t="shared" si="37"/>
        <v>9500.0802092051163</v>
      </c>
      <c r="J112" s="479">
        <f t="shared" si="21"/>
        <v>0</v>
      </c>
      <c r="K112" s="479"/>
      <c r="L112" s="488"/>
      <c r="M112" s="479">
        <f t="shared" si="23"/>
        <v>0</v>
      </c>
      <c r="N112" s="488"/>
      <c r="O112" s="479">
        <f t="shared" si="25"/>
        <v>0</v>
      </c>
      <c r="P112" s="479">
        <f t="shared" si="26"/>
        <v>0</v>
      </c>
    </row>
    <row r="113" spans="2:16" ht="12.5">
      <c r="B113" s="160" t="str">
        <f t="shared" si="27"/>
        <v/>
      </c>
      <c r="C113" s="473">
        <f>IF(D93="","-",+C112+1)</f>
        <v>2024</v>
      </c>
      <c r="D113" s="347">
        <f>IF(F112+SUM(E$99:E112)=D$92,F112,D$92-SUM(E$99:E112))</f>
        <v>68115.5</v>
      </c>
      <c r="E113" s="487">
        <f>IF(+J96&lt;F112,J96,D113)</f>
        <v>2355</v>
      </c>
      <c r="F113" s="486">
        <f t="shared" si="34"/>
        <v>65760.5</v>
      </c>
      <c r="G113" s="486">
        <f t="shared" si="35"/>
        <v>66938</v>
      </c>
      <c r="H113" s="489">
        <f t="shared" si="36"/>
        <v>9257.2466777852314</v>
      </c>
      <c r="I113" s="543">
        <f t="shared" si="37"/>
        <v>9257.2466777852314</v>
      </c>
      <c r="J113" s="479">
        <f t="shared" si="21"/>
        <v>0</v>
      </c>
      <c r="K113" s="479"/>
      <c r="L113" s="488"/>
      <c r="M113" s="479">
        <f t="shared" si="23"/>
        <v>0</v>
      </c>
      <c r="N113" s="488"/>
      <c r="O113" s="479">
        <f t="shared" si="25"/>
        <v>0</v>
      </c>
      <c r="P113" s="479">
        <f t="shared" si="26"/>
        <v>0</v>
      </c>
    </row>
    <row r="114" spans="2:16" ht="12.5">
      <c r="B114" s="160" t="str">
        <f t="shared" si="27"/>
        <v/>
      </c>
      <c r="C114" s="473">
        <f>IF(D93="","-",+C113+1)</f>
        <v>2025</v>
      </c>
      <c r="D114" s="347">
        <f>IF(F113+SUM(E$99:E113)=D$92,F113,D$92-SUM(E$99:E113))</f>
        <v>65760.5</v>
      </c>
      <c r="E114" s="487">
        <f>IF(+J96&lt;F113,J96,D114)</f>
        <v>2355</v>
      </c>
      <c r="F114" s="486">
        <f t="shared" si="34"/>
        <v>63405.5</v>
      </c>
      <c r="G114" s="486">
        <f t="shared" si="35"/>
        <v>64583</v>
      </c>
      <c r="H114" s="489">
        <f t="shared" si="36"/>
        <v>9014.4131463653466</v>
      </c>
      <c r="I114" s="543">
        <f t="shared" si="37"/>
        <v>9014.4131463653466</v>
      </c>
      <c r="J114" s="479">
        <f t="shared" si="21"/>
        <v>0</v>
      </c>
      <c r="K114" s="479"/>
      <c r="L114" s="488"/>
      <c r="M114" s="479">
        <f t="shared" si="23"/>
        <v>0</v>
      </c>
      <c r="N114" s="488"/>
      <c r="O114" s="479">
        <f t="shared" si="25"/>
        <v>0</v>
      </c>
      <c r="P114" s="479">
        <f t="shared" si="26"/>
        <v>0</v>
      </c>
    </row>
    <row r="115" spans="2:16" ht="12.5">
      <c r="B115" s="160" t="str">
        <f t="shared" si="27"/>
        <v/>
      </c>
      <c r="C115" s="473">
        <f>IF(D93="","-",+C114+1)</f>
        <v>2026</v>
      </c>
      <c r="D115" s="347">
        <f>IF(F114+SUM(E$99:E114)=D$92,F114,D$92-SUM(E$99:E114))</f>
        <v>63405.5</v>
      </c>
      <c r="E115" s="487">
        <f>IF(+J96&lt;F114,J96,D115)</f>
        <v>2355</v>
      </c>
      <c r="F115" s="486">
        <f t="shared" si="34"/>
        <v>61050.5</v>
      </c>
      <c r="G115" s="486">
        <f t="shared" si="35"/>
        <v>62228</v>
      </c>
      <c r="H115" s="489">
        <f t="shared" si="36"/>
        <v>8771.5796149454636</v>
      </c>
      <c r="I115" s="543">
        <f t="shared" si="37"/>
        <v>8771.5796149454636</v>
      </c>
      <c r="J115" s="479">
        <f t="shared" si="21"/>
        <v>0</v>
      </c>
      <c r="K115" s="479"/>
      <c r="L115" s="488"/>
      <c r="M115" s="479">
        <f t="shared" si="23"/>
        <v>0</v>
      </c>
      <c r="N115" s="488"/>
      <c r="O115" s="479">
        <f t="shared" si="25"/>
        <v>0</v>
      </c>
      <c r="P115" s="479">
        <f t="shared" si="26"/>
        <v>0</v>
      </c>
    </row>
    <row r="116" spans="2:16" ht="12.5">
      <c r="B116" s="160" t="str">
        <f t="shared" si="27"/>
        <v/>
      </c>
      <c r="C116" s="473">
        <f>IF(D93="","-",+C115+1)</f>
        <v>2027</v>
      </c>
      <c r="D116" s="347">
        <f>IF(F115+SUM(E$99:E115)=D$92,F115,D$92-SUM(E$99:E115))</f>
        <v>61050.5</v>
      </c>
      <c r="E116" s="487">
        <f>IF(+J96&lt;F115,J96,D116)</f>
        <v>2355</v>
      </c>
      <c r="F116" s="486">
        <f t="shared" si="34"/>
        <v>58695.5</v>
      </c>
      <c r="G116" s="486">
        <f t="shared" si="35"/>
        <v>59873</v>
      </c>
      <c r="H116" s="489">
        <f t="shared" si="36"/>
        <v>8528.7460835255788</v>
      </c>
      <c r="I116" s="543">
        <f t="shared" si="37"/>
        <v>8528.7460835255788</v>
      </c>
      <c r="J116" s="479">
        <f t="shared" si="21"/>
        <v>0</v>
      </c>
      <c r="K116" s="479"/>
      <c r="L116" s="488"/>
      <c r="M116" s="479">
        <f t="shared" si="23"/>
        <v>0</v>
      </c>
      <c r="N116" s="488"/>
      <c r="O116" s="479">
        <f t="shared" si="25"/>
        <v>0</v>
      </c>
      <c r="P116" s="479">
        <f t="shared" si="26"/>
        <v>0</v>
      </c>
    </row>
    <row r="117" spans="2:16" ht="12.5">
      <c r="B117" s="160" t="str">
        <f t="shared" si="27"/>
        <v/>
      </c>
      <c r="C117" s="473">
        <f>IF(D93="","-",+C116+1)</f>
        <v>2028</v>
      </c>
      <c r="D117" s="347">
        <f>IF(F116+SUM(E$99:E116)=D$92,F116,D$92-SUM(E$99:E116))</f>
        <v>58695.5</v>
      </c>
      <c r="E117" s="487">
        <f>IF(+J96&lt;F116,J96,D117)</f>
        <v>2355</v>
      </c>
      <c r="F117" s="486">
        <f t="shared" si="34"/>
        <v>56340.5</v>
      </c>
      <c r="G117" s="486">
        <f t="shared" si="35"/>
        <v>57518</v>
      </c>
      <c r="H117" s="489">
        <f t="shared" si="36"/>
        <v>8285.9125521056958</v>
      </c>
      <c r="I117" s="543">
        <f t="shared" si="37"/>
        <v>8285.9125521056958</v>
      </c>
      <c r="J117" s="479">
        <f t="shared" si="21"/>
        <v>0</v>
      </c>
      <c r="K117" s="479"/>
      <c r="L117" s="488"/>
      <c r="M117" s="479">
        <f t="shared" si="23"/>
        <v>0</v>
      </c>
      <c r="N117" s="488"/>
      <c r="O117" s="479">
        <f t="shared" si="25"/>
        <v>0</v>
      </c>
      <c r="P117" s="479">
        <f t="shared" si="26"/>
        <v>0</v>
      </c>
    </row>
    <row r="118" spans="2:16" ht="12.5">
      <c r="B118" s="160" t="str">
        <f t="shared" si="27"/>
        <v/>
      </c>
      <c r="C118" s="473">
        <f>IF(D93="","-",+C117+1)</f>
        <v>2029</v>
      </c>
      <c r="D118" s="347">
        <f>IF(F117+SUM(E$99:E117)=D$92,F117,D$92-SUM(E$99:E117))</f>
        <v>56340.5</v>
      </c>
      <c r="E118" s="487">
        <f>IF(+J96&lt;F117,J96,D118)</f>
        <v>2355</v>
      </c>
      <c r="F118" s="486">
        <f t="shared" si="34"/>
        <v>53985.5</v>
      </c>
      <c r="G118" s="486">
        <f t="shared" si="35"/>
        <v>55163</v>
      </c>
      <c r="H118" s="489">
        <f t="shared" si="36"/>
        <v>8043.0790206858101</v>
      </c>
      <c r="I118" s="543">
        <f t="shared" si="37"/>
        <v>8043.0790206858101</v>
      </c>
      <c r="J118" s="479">
        <f t="shared" si="21"/>
        <v>0</v>
      </c>
      <c r="K118" s="479"/>
      <c r="L118" s="488"/>
      <c r="M118" s="479">
        <f t="shared" si="23"/>
        <v>0</v>
      </c>
      <c r="N118" s="488"/>
      <c r="O118" s="479">
        <f t="shared" si="25"/>
        <v>0</v>
      </c>
      <c r="P118" s="479">
        <f t="shared" si="26"/>
        <v>0</v>
      </c>
    </row>
    <row r="119" spans="2:16" ht="12.5">
      <c r="B119" s="160" t="str">
        <f t="shared" si="27"/>
        <v/>
      </c>
      <c r="C119" s="473">
        <f>IF(D93="","-",+C118+1)</f>
        <v>2030</v>
      </c>
      <c r="D119" s="347">
        <f>IF(F118+SUM(E$99:E118)=D$92,F118,D$92-SUM(E$99:E118))</f>
        <v>53985.5</v>
      </c>
      <c r="E119" s="487">
        <f>IF(+J96&lt;F118,J96,D119)</f>
        <v>2355</v>
      </c>
      <c r="F119" s="486">
        <f t="shared" si="34"/>
        <v>51630.5</v>
      </c>
      <c r="G119" s="486">
        <f t="shared" si="35"/>
        <v>52808</v>
      </c>
      <c r="H119" s="489">
        <f t="shared" si="36"/>
        <v>7800.2454892659262</v>
      </c>
      <c r="I119" s="543">
        <f t="shared" si="37"/>
        <v>7800.2454892659262</v>
      </c>
      <c r="J119" s="479">
        <f t="shared" si="21"/>
        <v>0</v>
      </c>
      <c r="K119" s="479"/>
      <c r="L119" s="488"/>
      <c r="M119" s="479">
        <f t="shared" si="23"/>
        <v>0</v>
      </c>
      <c r="N119" s="488"/>
      <c r="O119" s="479">
        <f t="shared" si="25"/>
        <v>0</v>
      </c>
      <c r="P119" s="479">
        <f t="shared" si="26"/>
        <v>0</v>
      </c>
    </row>
    <row r="120" spans="2:16" ht="12.5">
      <c r="B120" s="160" t="str">
        <f t="shared" si="27"/>
        <v/>
      </c>
      <c r="C120" s="473">
        <f>IF(D93="","-",+C119+1)</f>
        <v>2031</v>
      </c>
      <c r="D120" s="347">
        <f>IF(F119+SUM(E$99:E119)=D$92,F119,D$92-SUM(E$99:E119))</f>
        <v>51630.5</v>
      </c>
      <c r="E120" s="487">
        <f>IF(+J96&lt;F119,J96,D120)</f>
        <v>2355</v>
      </c>
      <c r="F120" s="486">
        <f t="shared" si="34"/>
        <v>49275.5</v>
      </c>
      <c r="G120" s="486">
        <f t="shared" si="35"/>
        <v>50453</v>
      </c>
      <c r="H120" s="489">
        <f t="shared" si="36"/>
        <v>7557.4119578460413</v>
      </c>
      <c r="I120" s="543">
        <f t="shared" si="37"/>
        <v>7557.4119578460413</v>
      </c>
      <c r="J120" s="479">
        <f t="shared" si="21"/>
        <v>0</v>
      </c>
      <c r="K120" s="479"/>
      <c r="L120" s="488"/>
      <c r="M120" s="479">
        <f t="shared" si="23"/>
        <v>0</v>
      </c>
      <c r="N120" s="488"/>
      <c r="O120" s="479">
        <f t="shared" si="25"/>
        <v>0</v>
      </c>
      <c r="P120" s="479">
        <f t="shared" si="26"/>
        <v>0</v>
      </c>
    </row>
    <row r="121" spans="2:16" ht="12.5">
      <c r="B121" s="160" t="str">
        <f t="shared" si="27"/>
        <v/>
      </c>
      <c r="C121" s="473">
        <f>IF(D93="","-",+C120+1)</f>
        <v>2032</v>
      </c>
      <c r="D121" s="347">
        <f>IF(F120+SUM(E$99:E120)=D$92,F120,D$92-SUM(E$99:E120))</f>
        <v>49275.5</v>
      </c>
      <c r="E121" s="487">
        <f>IF(+J96&lt;F120,J96,D121)</f>
        <v>2355</v>
      </c>
      <c r="F121" s="486">
        <f t="shared" si="34"/>
        <v>46920.5</v>
      </c>
      <c r="G121" s="486">
        <f t="shared" si="35"/>
        <v>48098</v>
      </c>
      <c r="H121" s="489">
        <f t="shared" si="36"/>
        <v>7314.5784264261574</v>
      </c>
      <c r="I121" s="543">
        <f t="shared" si="37"/>
        <v>7314.5784264261574</v>
      </c>
      <c r="J121" s="479">
        <f t="shared" si="21"/>
        <v>0</v>
      </c>
      <c r="K121" s="479"/>
      <c r="L121" s="488"/>
      <c r="M121" s="479">
        <f t="shared" si="23"/>
        <v>0</v>
      </c>
      <c r="N121" s="488"/>
      <c r="O121" s="479">
        <f t="shared" si="25"/>
        <v>0</v>
      </c>
      <c r="P121" s="479">
        <f t="shared" si="26"/>
        <v>0</v>
      </c>
    </row>
    <row r="122" spans="2:16" ht="12.5">
      <c r="B122" s="160" t="str">
        <f t="shared" si="27"/>
        <v/>
      </c>
      <c r="C122" s="473">
        <f>IF(D93="","-",+C121+1)</f>
        <v>2033</v>
      </c>
      <c r="D122" s="347">
        <f>IF(F121+SUM(E$99:E121)=D$92,F121,D$92-SUM(E$99:E121))</f>
        <v>46920.5</v>
      </c>
      <c r="E122" s="487">
        <f>IF(+J96&lt;F121,J96,D122)</f>
        <v>2355</v>
      </c>
      <c r="F122" s="486">
        <f t="shared" si="34"/>
        <v>44565.5</v>
      </c>
      <c r="G122" s="486">
        <f t="shared" si="35"/>
        <v>45743</v>
      </c>
      <c r="H122" s="489">
        <f t="shared" si="36"/>
        <v>7071.7448950062726</v>
      </c>
      <c r="I122" s="543">
        <f t="shared" si="37"/>
        <v>7071.7448950062726</v>
      </c>
      <c r="J122" s="479">
        <f t="shared" si="21"/>
        <v>0</v>
      </c>
      <c r="K122" s="479"/>
      <c r="L122" s="488"/>
      <c r="M122" s="479">
        <f t="shared" si="23"/>
        <v>0</v>
      </c>
      <c r="N122" s="488"/>
      <c r="O122" s="479">
        <f t="shared" si="25"/>
        <v>0</v>
      </c>
      <c r="P122" s="479">
        <f t="shared" si="26"/>
        <v>0</v>
      </c>
    </row>
    <row r="123" spans="2:16" ht="12.5">
      <c r="B123" s="160" t="str">
        <f t="shared" si="27"/>
        <v/>
      </c>
      <c r="C123" s="473">
        <f>IF(D93="","-",+C122+1)</f>
        <v>2034</v>
      </c>
      <c r="D123" s="347">
        <f>IF(F122+SUM(E$99:E122)=D$92,F122,D$92-SUM(E$99:E122))</f>
        <v>44565.5</v>
      </c>
      <c r="E123" s="487">
        <f>IF(+J96&lt;F122,J96,D123)</f>
        <v>2355</v>
      </c>
      <c r="F123" s="486">
        <f t="shared" si="34"/>
        <v>42210.5</v>
      </c>
      <c r="G123" s="486">
        <f t="shared" si="35"/>
        <v>43388</v>
      </c>
      <c r="H123" s="489">
        <f t="shared" si="36"/>
        <v>6828.9113635863887</v>
      </c>
      <c r="I123" s="543">
        <f t="shared" si="37"/>
        <v>6828.9113635863887</v>
      </c>
      <c r="J123" s="479">
        <f t="shared" si="21"/>
        <v>0</v>
      </c>
      <c r="K123" s="479"/>
      <c r="L123" s="488"/>
      <c r="M123" s="479">
        <f t="shared" si="23"/>
        <v>0</v>
      </c>
      <c r="N123" s="488"/>
      <c r="O123" s="479">
        <f t="shared" si="25"/>
        <v>0</v>
      </c>
      <c r="P123" s="479">
        <f t="shared" si="26"/>
        <v>0</v>
      </c>
    </row>
    <row r="124" spans="2:16" ht="12.5">
      <c r="B124" s="160" t="str">
        <f t="shared" si="27"/>
        <v/>
      </c>
      <c r="C124" s="473">
        <f>IF(D93="","-",+C123+1)</f>
        <v>2035</v>
      </c>
      <c r="D124" s="347">
        <f>IF(F123+SUM(E$99:E123)=D$92,F123,D$92-SUM(E$99:E123))</f>
        <v>42210.5</v>
      </c>
      <c r="E124" s="487">
        <f>IF(+J96&lt;F123,J96,D124)</f>
        <v>2355</v>
      </c>
      <c r="F124" s="486">
        <f t="shared" si="34"/>
        <v>39855.5</v>
      </c>
      <c r="G124" s="486">
        <f t="shared" si="35"/>
        <v>41033</v>
      </c>
      <c r="H124" s="489">
        <f t="shared" si="36"/>
        <v>6586.0778321665039</v>
      </c>
      <c r="I124" s="543">
        <f t="shared" si="37"/>
        <v>6586.0778321665039</v>
      </c>
      <c r="J124" s="479">
        <f t="shared" si="21"/>
        <v>0</v>
      </c>
      <c r="K124" s="479"/>
      <c r="L124" s="488"/>
      <c r="M124" s="479">
        <f t="shared" si="23"/>
        <v>0</v>
      </c>
      <c r="N124" s="488"/>
      <c r="O124" s="479">
        <f t="shared" si="25"/>
        <v>0</v>
      </c>
      <c r="P124" s="479">
        <f t="shared" si="26"/>
        <v>0</v>
      </c>
    </row>
    <row r="125" spans="2:16" ht="12.5">
      <c r="B125" s="160" t="str">
        <f t="shared" si="27"/>
        <v/>
      </c>
      <c r="C125" s="473">
        <f>IF(D93="","-",+C124+1)</f>
        <v>2036</v>
      </c>
      <c r="D125" s="347">
        <f>IF(F124+SUM(E$99:E124)=D$92,F124,D$92-SUM(E$99:E124))</f>
        <v>39855.5</v>
      </c>
      <c r="E125" s="487">
        <f>IF(+J96&lt;F124,J96,D125)</f>
        <v>2355</v>
      </c>
      <c r="F125" s="486">
        <f t="shared" si="34"/>
        <v>37500.5</v>
      </c>
      <c r="G125" s="486">
        <f t="shared" si="35"/>
        <v>38678</v>
      </c>
      <c r="H125" s="489">
        <f t="shared" si="36"/>
        <v>6343.244300746619</v>
      </c>
      <c r="I125" s="543">
        <f t="shared" si="37"/>
        <v>6343.244300746619</v>
      </c>
      <c r="J125" s="479">
        <f t="shared" si="21"/>
        <v>0</v>
      </c>
      <c r="K125" s="479"/>
      <c r="L125" s="488"/>
      <c r="M125" s="479">
        <f t="shared" si="23"/>
        <v>0</v>
      </c>
      <c r="N125" s="488"/>
      <c r="O125" s="479">
        <f t="shared" si="25"/>
        <v>0</v>
      </c>
      <c r="P125" s="479">
        <f t="shared" si="26"/>
        <v>0</v>
      </c>
    </row>
    <row r="126" spans="2:16" ht="12.5">
      <c r="B126" s="160" t="str">
        <f t="shared" si="27"/>
        <v/>
      </c>
      <c r="C126" s="473">
        <f>IF(D93="","-",+C125+1)</f>
        <v>2037</v>
      </c>
      <c r="D126" s="347">
        <f>IF(F125+SUM(E$99:E125)=D$92,F125,D$92-SUM(E$99:E125))</f>
        <v>37500.5</v>
      </c>
      <c r="E126" s="487">
        <f>IF(+J96&lt;F125,J96,D126)</f>
        <v>2355</v>
      </c>
      <c r="F126" s="486">
        <f t="shared" si="34"/>
        <v>35145.5</v>
      </c>
      <c r="G126" s="486">
        <f t="shared" si="35"/>
        <v>36323</v>
      </c>
      <c r="H126" s="489">
        <f t="shared" si="36"/>
        <v>6100.4107693267351</v>
      </c>
      <c r="I126" s="543">
        <f t="shared" si="37"/>
        <v>6100.4107693267351</v>
      </c>
      <c r="J126" s="479">
        <f t="shared" si="21"/>
        <v>0</v>
      </c>
      <c r="K126" s="479"/>
      <c r="L126" s="488"/>
      <c r="M126" s="479">
        <f t="shared" si="23"/>
        <v>0</v>
      </c>
      <c r="N126" s="488"/>
      <c r="O126" s="479">
        <f t="shared" si="25"/>
        <v>0</v>
      </c>
      <c r="P126" s="479">
        <f t="shared" si="26"/>
        <v>0</v>
      </c>
    </row>
    <row r="127" spans="2:16" ht="12.5">
      <c r="B127" s="160" t="str">
        <f t="shared" si="27"/>
        <v/>
      </c>
      <c r="C127" s="473">
        <f>IF(D93="","-",+C126+1)</f>
        <v>2038</v>
      </c>
      <c r="D127" s="347">
        <f>IF(F126+SUM(E$99:E126)=D$92,F126,D$92-SUM(E$99:E126))</f>
        <v>35145.5</v>
      </c>
      <c r="E127" s="487">
        <f>IF(+J96&lt;F126,J96,D127)</f>
        <v>2355</v>
      </c>
      <c r="F127" s="486">
        <f t="shared" si="34"/>
        <v>32790.5</v>
      </c>
      <c r="G127" s="486">
        <f t="shared" si="35"/>
        <v>33968</v>
      </c>
      <c r="H127" s="489">
        <f t="shared" si="36"/>
        <v>5857.5772379068512</v>
      </c>
      <c r="I127" s="543">
        <f t="shared" si="37"/>
        <v>5857.5772379068512</v>
      </c>
      <c r="J127" s="479">
        <f t="shared" si="21"/>
        <v>0</v>
      </c>
      <c r="K127" s="479"/>
      <c r="L127" s="488"/>
      <c r="M127" s="479">
        <f t="shared" si="23"/>
        <v>0</v>
      </c>
      <c r="N127" s="488"/>
      <c r="O127" s="479">
        <f t="shared" si="25"/>
        <v>0</v>
      </c>
      <c r="P127" s="479">
        <f t="shared" si="26"/>
        <v>0</v>
      </c>
    </row>
    <row r="128" spans="2:16" ht="12.5">
      <c r="B128" s="160" t="str">
        <f t="shared" si="27"/>
        <v/>
      </c>
      <c r="C128" s="473">
        <f>IF(D93="","-",+C127+1)</f>
        <v>2039</v>
      </c>
      <c r="D128" s="347">
        <f>IF(F127+SUM(E$99:E127)=D$92,F127,D$92-SUM(E$99:E127))</f>
        <v>32790.5</v>
      </c>
      <c r="E128" s="487">
        <f>IF(+J96&lt;F127,J96,D128)</f>
        <v>2355</v>
      </c>
      <c r="F128" s="486">
        <f t="shared" si="34"/>
        <v>30435.5</v>
      </c>
      <c r="G128" s="486">
        <f t="shared" si="35"/>
        <v>31613</v>
      </c>
      <c r="H128" s="489">
        <f t="shared" si="36"/>
        <v>5614.7437064869664</v>
      </c>
      <c r="I128" s="543">
        <f t="shared" si="37"/>
        <v>5614.7437064869664</v>
      </c>
      <c r="J128" s="479">
        <f t="shared" si="21"/>
        <v>0</v>
      </c>
      <c r="K128" s="479"/>
      <c r="L128" s="488"/>
      <c r="M128" s="479">
        <f t="shared" si="23"/>
        <v>0</v>
      </c>
      <c r="N128" s="488"/>
      <c r="O128" s="479">
        <f t="shared" si="25"/>
        <v>0</v>
      </c>
      <c r="P128" s="479">
        <f t="shared" si="26"/>
        <v>0</v>
      </c>
    </row>
    <row r="129" spans="2:16" ht="12.5">
      <c r="B129" s="160" t="str">
        <f t="shared" si="27"/>
        <v/>
      </c>
      <c r="C129" s="473">
        <f>IF(D93="","-",+C128+1)</f>
        <v>2040</v>
      </c>
      <c r="D129" s="347">
        <f>IF(F128+SUM(E$99:E128)=D$92,F128,D$92-SUM(E$99:E128))</f>
        <v>30435.5</v>
      </c>
      <c r="E129" s="487">
        <f>IF(+J96&lt;F128,J96,D129)</f>
        <v>2355</v>
      </c>
      <c r="F129" s="486">
        <f t="shared" si="34"/>
        <v>28080.5</v>
      </c>
      <c r="G129" s="486">
        <f t="shared" si="35"/>
        <v>29258</v>
      </c>
      <c r="H129" s="489">
        <f t="shared" si="36"/>
        <v>5371.9101750670816</v>
      </c>
      <c r="I129" s="543">
        <f t="shared" si="37"/>
        <v>5371.9101750670816</v>
      </c>
      <c r="J129" s="479">
        <f t="shared" si="21"/>
        <v>0</v>
      </c>
      <c r="K129" s="479"/>
      <c r="L129" s="488"/>
      <c r="M129" s="479">
        <f t="shared" si="23"/>
        <v>0</v>
      </c>
      <c r="N129" s="488"/>
      <c r="O129" s="479">
        <f t="shared" si="25"/>
        <v>0</v>
      </c>
      <c r="P129" s="479">
        <f t="shared" si="26"/>
        <v>0</v>
      </c>
    </row>
    <row r="130" spans="2:16" ht="12.5">
      <c r="B130" s="160" t="str">
        <f t="shared" si="27"/>
        <v/>
      </c>
      <c r="C130" s="473">
        <f>IF(D93="","-",+C129+1)</f>
        <v>2041</v>
      </c>
      <c r="D130" s="347">
        <f>IF(F129+SUM(E$99:E129)=D$92,F129,D$92-SUM(E$99:E129))</f>
        <v>28080.5</v>
      </c>
      <c r="E130" s="487">
        <f>IF(+J96&lt;F129,J96,D130)</f>
        <v>2355</v>
      </c>
      <c r="F130" s="486">
        <f t="shared" ref="F130:F145" si="38">+D130-E130</f>
        <v>25725.5</v>
      </c>
      <c r="G130" s="486">
        <f t="shared" ref="G130:G145" si="39">+(F130+D130)/2</f>
        <v>26903</v>
      </c>
      <c r="H130" s="489">
        <f t="shared" si="36"/>
        <v>5129.0766436471977</v>
      </c>
      <c r="I130" s="543">
        <f t="shared" si="37"/>
        <v>5129.0766436471977</v>
      </c>
      <c r="J130" s="479">
        <f t="shared" si="21"/>
        <v>0</v>
      </c>
      <c r="K130" s="479"/>
      <c r="L130" s="488"/>
      <c r="M130" s="479">
        <f t="shared" si="23"/>
        <v>0</v>
      </c>
      <c r="N130" s="488"/>
      <c r="O130" s="479">
        <f t="shared" si="25"/>
        <v>0</v>
      </c>
      <c r="P130" s="479">
        <f t="shared" si="26"/>
        <v>0</v>
      </c>
    </row>
    <row r="131" spans="2:16" ht="12.5">
      <c r="B131" s="160" t="str">
        <f t="shared" si="27"/>
        <v/>
      </c>
      <c r="C131" s="473">
        <f>IF(D93="","-",+C130+1)</f>
        <v>2042</v>
      </c>
      <c r="D131" s="347">
        <f>IF(F130+SUM(E$99:E130)=D$92,F130,D$92-SUM(E$99:E130))</f>
        <v>25725.5</v>
      </c>
      <c r="E131" s="487">
        <f>IF(+J96&lt;F130,J96,D131)</f>
        <v>2355</v>
      </c>
      <c r="F131" s="486">
        <f t="shared" si="38"/>
        <v>23370.5</v>
      </c>
      <c r="G131" s="486">
        <f t="shared" si="39"/>
        <v>24548</v>
      </c>
      <c r="H131" s="489">
        <f t="shared" ref="H131:H154" si="40">+J$94*G131+E131</f>
        <v>4886.2431122273138</v>
      </c>
      <c r="I131" s="543">
        <f t="shared" ref="I131:I154" si="41">+J$95*G131+E131</f>
        <v>4886.2431122273138</v>
      </c>
      <c r="J131" s="479">
        <f t="shared" ref="J131:J154" si="42">+I541-H541</f>
        <v>0</v>
      </c>
      <c r="K131" s="479"/>
      <c r="L131" s="488"/>
      <c r="M131" s="479">
        <f t="shared" ref="M131:M154" si="43">IF(L541&lt;&gt;0,+H541-L541,0)</f>
        <v>0</v>
      </c>
      <c r="N131" s="488"/>
      <c r="O131" s="479">
        <f t="shared" ref="O131:O154" si="44">IF(N541&lt;&gt;0,+I541-N541,0)</f>
        <v>0</v>
      </c>
      <c r="P131" s="479">
        <f t="shared" ref="P131:P154" si="45">+O541-M541</f>
        <v>0</v>
      </c>
    </row>
    <row r="132" spans="2:16" ht="12.5">
      <c r="B132" s="160" t="str">
        <f t="shared" si="27"/>
        <v/>
      </c>
      <c r="C132" s="473">
        <f>IF(D93="","-",+C131+1)</f>
        <v>2043</v>
      </c>
      <c r="D132" s="347">
        <f>IF(F131+SUM(E$99:E131)=D$92,F131,D$92-SUM(E$99:E131))</f>
        <v>23370.5</v>
      </c>
      <c r="E132" s="487">
        <f>IF(+J96&lt;F131,J96,D132)</f>
        <v>2355</v>
      </c>
      <c r="F132" s="486">
        <f t="shared" si="38"/>
        <v>21015.5</v>
      </c>
      <c r="G132" s="486">
        <f t="shared" si="39"/>
        <v>22193</v>
      </c>
      <c r="H132" s="489">
        <f t="shared" si="40"/>
        <v>4643.4095808074289</v>
      </c>
      <c r="I132" s="543">
        <f t="shared" si="41"/>
        <v>4643.4095808074289</v>
      </c>
      <c r="J132" s="479">
        <f t="shared" si="42"/>
        <v>0</v>
      </c>
      <c r="K132" s="479"/>
      <c r="L132" s="488"/>
      <c r="M132" s="479">
        <f t="shared" si="43"/>
        <v>0</v>
      </c>
      <c r="N132" s="488"/>
      <c r="O132" s="479">
        <f t="shared" si="44"/>
        <v>0</v>
      </c>
      <c r="P132" s="479">
        <f t="shared" si="45"/>
        <v>0</v>
      </c>
    </row>
    <row r="133" spans="2:16" ht="12.5">
      <c r="B133" s="160" t="str">
        <f t="shared" si="27"/>
        <v/>
      </c>
      <c r="C133" s="473">
        <f>IF(D93="","-",+C132+1)</f>
        <v>2044</v>
      </c>
      <c r="D133" s="347">
        <f>IF(F132+SUM(E$99:E132)=D$92,F132,D$92-SUM(E$99:E132))</f>
        <v>21015.5</v>
      </c>
      <c r="E133" s="487">
        <f>IF(+J96&lt;F132,J96,D133)</f>
        <v>2355</v>
      </c>
      <c r="F133" s="486">
        <f t="shared" si="38"/>
        <v>18660.5</v>
      </c>
      <c r="G133" s="486">
        <f t="shared" si="39"/>
        <v>19838</v>
      </c>
      <c r="H133" s="489">
        <f t="shared" si="40"/>
        <v>4400.5760493875441</v>
      </c>
      <c r="I133" s="543">
        <f t="shared" si="41"/>
        <v>4400.5760493875441</v>
      </c>
      <c r="J133" s="479">
        <f t="shared" si="42"/>
        <v>0</v>
      </c>
      <c r="K133" s="479"/>
      <c r="L133" s="488"/>
      <c r="M133" s="479">
        <f t="shared" si="43"/>
        <v>0</v>
      </c>
      <c r="N133" s="488"/>
      <c r="O133" s="479">
        <f t="shared" si="44"/>
        <v>0</v>
      </c>
      <c r="P133" s="479">
        <f t="shared" si="45"/>
        <v>0</v>
      </c>
    </row>
    <row r="134" spans="2:16" ht="12.5">
      <c r="B134" s="160" t="str">
        <f t="shared" si="27"/>
        <v/>
      </c>
      <c r="C134" s="473">
        <f>IF(D93="","-",+C133+1)</f>
        <v>2045</v>
      </c>
      <c r="D134" s="347">
        <f>IF(F133+SUM(E$99:E133)=D$92,F133,D$92-SUM(E$99:E133))</f>
        <v>18660.5</v>
      </c>
      <c r="E134" s="487">
        <f>IF(+J96&lt;F133,J96,D134)</f>
        <v>2355</v>
      </c>
      <c r="F134" s="486">
        <f t="shared" si="38"/>
        <v>16305.5</v>
      </c>
      <c r="G134" s="486">
        <f t="shared" si="39"/>
        <v>17483</v>
      </c>
      <c r="H134" s="489">
        <f t="shared" si="40"/>
        <v>4157.7425179676602</v>
      </c>
      <c r="I134" s="543">
        <f t="shared" si="41"/>
        <v>4157.7425179676602</v>
      </c>
      <c r="J134" s="479">
        <f t="shared" si="42"/>
        <v>0</v>
      </c>
      <c r="K134" s="479"/>
      <c r="L134" s="488"/>
      <c r="M134" s="479">
        <f t="shared" si="43"/>
        <v>0</v>
      </c>
      <c r="N134" s="488"/>
      <c r="O134" s="479">
        <f t="shared" si="44"/>
        <v>0</v>
      </c>
      <c r="P134" s="479">
        <f t="shared" si="45"/>
        <v>0</v>
      </c>
    </row>
    <row r="135" spans="2:16" ht="12.5">
      <c r="B135" s="160" t="str">
        <f t="shared" si="27"/>
        <v/>
      </c>
      <c r="C135" s="473">
        <f>IF(D93="","-",+C134+1)</f>
        <v>2046</v>
      </c>
      <c r="D135" s="347">
        <f>IF(F134+SUM(E$99:E134)=D$92,F134,D$92-SUM(E$99:E134))</f>
        <v>16305.5</v>
      </c>
      <c r="E135" s="487">
        <f>IF(+J96&lt;F134,J96,D135)</f>
        <v>2355</v>
      </c>
      <c r="F135" s="486">
        <f t="shared" si="38"/>
        <v>13950.5</v>
      </c>
      <c r="G135" s="486">
        <f t="shared" si="39"/>
        <v>15128</v>
      </c>
      <c r="H135" s="489">
        <f t="shared" si="40"/>
        <v>3914.9089865477754</v>
      </c>
      <c r="I135" s="543">
        <f t="shared" si="41"/>
        <v>3914.9089865477754</v>
      </c>
      <c r="J135" s="479">
        <f t="shared" si="42"/>
        <v>0</v>
      </c>
      <c r="K135" s="479"/>
      <c r="L135" s="488"/>
      <c r="M135" s="479">
        <f t="shared" si="43"/>
        <v>0</v>
      </c>
      <c r="N135" s="488"/>
      <c r="O135" s="479">
        <f t="shared" si="44"/>
        <v>0</v>
      </c>
      <c r="P135" s="479">
        <f t="shared" si="45"/>
        <v>0</v>
      </c>
    </row>
    <row r="136" spans="2:16" ht="12.5">
      <c r="B136" s="160" t="str">
        <f t="shared" si="27"/>
        <v/>
      </c>
      <c r="C136" s="473">
        <f>IF(D93="","-",+C135+1)</f>
        <v>2047</v>
      </c>
      <c r="D136" s="347">
        <f>IF(F135+SUM(E$99:E135)=D$92,F135,D$92-SUM(E$99:E135))</f>
        <v>13950.5</v>
      </c>
      <c r="E136" s="487">
        <f>IF(+J96&lt;F135,J96,D136)</f>
        <v>2355</v>
      </c>
      <c r="F136" s="486">
        <f t="shared" si="38"/>
        <v>11595.5</v>
      </c>
      <c r="G136" s="486">
        <f t="shared" si="39"/>
        <v>12773</v>
      </c>
      <c r="H136" s="489">
        <f t="shared" si="40"/>
        <v>3672.075455127891</v>
      </c>
      <c r="I136" s="543">
        <f t="shared" si="41"/>
        <v>3672.075455127891</v>
      </c>
      <c r="J136" s="479">
        <f t="shared" si="42"/>
        <v>0</v>
      </c>
      <c r="K136" s="479"/>
      <c r="L136" s="488"/>
      <c r="M136" s="479">
        <f t="shared" si="43"/>
        <v>0</v>
      </c>
      <c r="N136" s="488"/>
      <c r="O136" s="479">
        <f t="shared" si="44"/>
        <v>0</v>
      </c>
      <c r="P136" s="479">
        <f t="shared" si="45"/>
        <v>0</v>
      </c>
    </row>
    <row r="137" spans="2:16" ht="12.5">
      <c r="B137" s="160" t="str">
        <f t="shared" si="27"/>
        <v/>
      </c>
      <c r="C137" s="473">
        <f>IF(D93="","-",+C136+1)</f>
        <v>2048</v>
      </c>
      <c r="D137" s="347">
        <f>IF(F136+SUM(E$99:E136)=D$92,F136,D$92-SUM(E$99:E136))</f>
        <v>11595.5</v>
      </c>
      <c r="E137" s="487">
        <f>IF(+J96&lt;F136,J96,D137)</f>
        <v>2355</v>
      </c>
      <c r="F137" s="486">
        <f t="shared" si="38"/>
        <v>9240.5</v>
      </c>
      <c r="G137" s="486">
        <f t="shared" si="39"/>
        <v>10418</v>
      </c>
      <c r="H137" s="489">
        <f t="shared" si="40"/>
        <v>3429.2419237080067</v>
      </c>
      <c r="I137" s="543">
        <f t="shared" si="41"/>
        <v>3429.2419237080067</v>
      </c>
      <c r="J137" s="479">
        <f t="shared" si="42"/>
        <v>0</v>
      </c>
      <c r="K137" s="479"/>
      <c r="L137" s="488"/>
      <c r="M137" s="479">
        <f t="shared" si="43"/>
        <v>0</v>
      </c>
      <c r="N137" s="488"/>
      <c r="O137" s="479">
        <f t="shared" si="44"/>
        <v>0</v>
      </c>
      <c r="P137" s="479">
        <f t="shared" si="45"/>
        <v>0</v>
      </c>
    </row>
    <row r="138" spans="2:16" ht="12.5">
      <c r="B138" s="160" t="str">
        <f t="shared" si="27"/>
        <v/>
      </c>
      <c r="C138" s="473">
        <f>IF(D93="","-",+C137+1)</f>
        <v>2049</v>
      </c>
      <c r="D138" s="347">
        <f>IF(F137+SUM(E$99:E137)=D$92,F137,D$92-SUM(E$99:E137))</f>
        <v>9240.5</v>
      </c>
      <c r="E138" s="487">
        <f>IF(+J96&lt;F137,J96,D138)</f>
        <v>2355</v>
      </c>
      <c r="F138" s="486">
        <f t="shared" si="38"/>
        <v>6885.5</v>
      </c>
      <c r="G138" s="486">
        <f t="shared" si="39"/>
        <v>8063</v>
      </c>
      <c r="H138" s="489">
        <f t="shared" si="40"/>
        <v>3186.4083922881223</v>
      </c>
      <c r="I138" s="543">
        <f t="shared" si="41"/>
        <v>3186.4083922881223</v>
      </c>
      <c r="J138" s="479">
        <f t="shared" si="42"/>
        <v>0</v>
      </c>
      <c r="K138" s="479"/>
      <c r="L138" s="488"/>
      <c r="M138" s="479">
        <f t="shared" si="43"/>
        <v>0</v>
      </c>
      <c r="N138" s="488"/>
      <c r="O138" s="479">
        <f t="shared" si="44"/>
        <v>0</v>
      </c>
      <c r="P138" s="479">
        <f t="shared" si="45"/>
        <v>0</v>
      </c>
    </row>
    <row r="139" spans="2:16" ht="12.5">
      <c r="B139" s="160" t="str">
        <f t="shared" si="27"/>
        <v/>
      </c>
      <c r="C139" s="473">
        <f>IF(D93="","-",+C138+1)</f>
        <v>2050</v>
      </c>
      <c r="D139" s="347">
        <f>IF(F138+SUM(E$99:E138)=D$92,F138,D$92-SUM(E$99:E138))</f>
        <v>6885.5</v>
      </c>
      <c r="E139" s="487">
        <f>IF(+J96&lt;F138,J96,D139)</f>
        <v>2355</v>
      </c>
      <c r="F139" s="486">
        <f t="shared" si="38"/>
        <v>4530.5</v>
      </c>
      <c r="G139" s="486">
        <f t="shared" si="39"/>
        <v>5708</v>
      </c>
      <c r="H139" s="489">
        <f t="shared" si="40"/>
        <v>2943.5748608682379</v>
      </c>
      <c r="I139" s="543">
        <f t="shared" si="41"/>
        <v>2943.5748608682379</v>
      </c>
      <c r="J139" s="479">
        <f t="shared" si="42"/>
        <v>0</v>
      </c>
      <c r="K139" s="479"/>
      <c r="L139" s="488"/>
      <c r="M139" s="479">
        <f t="shared" si="43"/>
        <v>0</v>
      </c>
      <c r="N139" s="488"/>
      <c r="O139" s="479">
        <f t="shared" si="44"/>
        <v>0</v>
      </c>
      <c r="P139" s="479">
        <f t="shared" si="45"/>
        <v>0</v>
      </c>
    </row>
    <row r="140" spans="2:16" ht="12.5">
      <c r="B140" s="160" t="str">
        <f t="shared" si="27"/>
        <v/>
      </c>
      <c r="C140" s="473">
        <f>IF(D93="","-",+C139+1)</f>
        <v>2051</v>
      </c>
      <c r="D140" s="347">
        <f>IF(F139+SUM(E$99:E139)=D$92,F139,D$92-SUM(E$99:E139))</f>
        <v>4530.5</v>
      </c>
      <c r="E140" s="487">
        <f>IF(+J96&lt;F139,J96,D140)</f>
        <v>2355</v>
      </c>
      <c r="F140" s="486">
        <f t="shared" si="38"/>
        <v>2175.5</v>
      </c>
      <c r="G140" s="486">
        <f t="shared" si="39"/>
        <v>3353</v>
      </c>
      <c r="H140" s="489">
        <f t="shared" si="40"/>
        <v>2700.7413294483536</v>
      </c>
      <c r="I140" s="543">
        <f t="shared" si="41"/>
        <v>2700.7413294483536</v>
      </c>
      <c r="J140" s="479">
        <f t="shared" si="42"/>
        <v>0</v>
      </c>
      <c r="K140" s="479"/>
      <c r="L140" s="488"/>
      <c r="M140" s="479">
        <f t="shared" si="43"/>
        <v>0</v>
      </c>
      <c r="N140" s="488"/>
      <c r="O140" s="479">
        <f t="shared" si="44"/>
        <v>0</v>
      </c>
      <c r="P140" s="479">
        <f t="shared" si="45"/>
        <v>0</v>
      </c>
    </row>
    <row r="141" spans="2:16" ht="12.5">
      <c r="B141" s="160" t="str">
        <f t="shared" si="27"/>
        <v/>
      </c>
      <c r="C141" s="473">
        <f>IF(D93="","-",+C140+1)</f>
        <v>2052</v>
      </c>
      <c r="D141" s="347">
        <f>IF(F140+SUM(E$99:E140)=D$92,F140,D$92-SUM(E$99:E140))</f>
        <v>2175.5</v>
      </c>
      <c r="E141" s="487">
        <f>IF(+J96&lt;F140,J96,D141)</f>
        <v>2175.5</v>
      </c>
      <c r="F141" s="486">
        <f t="shared" si="38"/>
        <v>0</v>
      </c>
      <c r="G141" s="486">
        <f t="shared" si="39"/>
        <v>1087.75</v>
      </c>
      <c r="H141" s="489">
        <f t="shared" si="40"/>
        <v>2287.6622818692058</v>
      </c>
      <c r="I141" s="543">
        <f t="shared" si="41"/>
        <v>2287.6622818692058</v>
      </c>
      <c r="J141" s="479">
        <f t="shared" si="42"/>
        <v>0</v>
      </c>
      <c r="K141" s="479"/>
      <c r="L141" s="488"/>
      <c r="M141" s="479">
        <f t="shared" si="43"/>
        <v>0</v>
      </c>
      <c r="N141" s="488"/>
      <c r="O141" s="479">
        <f t="shared" si="44"/>
        <v>0</v>
      </c>
      <c r="P141" s="479">
        <f t="shared" si="45"/>
        <v>0</v>
      </c>
    </row>
    <row r="142" spans="2:16" ht="12.5">
      <c r="B142" s="160" t="str">
        <f t="shared" si="27"/>
        <v/>
      </c>
      <c r="C142" s="473">
        <f>IF(D93="","-",+C141+1)</f>
        <v>2053</v>
      </c>
      <c r="D142" s="347">
        <f>IF(F141+SUM(E$99:E141)=D$92,F141,D$92-SUM(E$99:E141))</f>
        <v>0</v>
      </c>
      <c r="E142" s="487">
        <f>IF(+J96&lt;F141,J96,D142)</f>
        <v>0</v>
      </c>
      <c r="F142" s="486">
        <f t="shared" si="38"/>
        <v>0</v>
      </c>
      <c r="G142" s="486">
        <f t="shared" si="39"/>
        <v>0</v>
      </c>
      <c r="H142" s="489">
        <f t="shared" si="40"/>
        <v>0</v>
      </c>
      <c r="I142" s="543">
        <f t="shared" si="41"/>
        <v>0</v>
      </c>
      <c r="J142" s="479">
        <f t="shared" si="42"/>
        <v>0</v>
      </c>
      <c r="K142" s="479"/>
      <c r="L142" s="488"/>
      <c r="M142" s="479">
        <f t="shared" si="43"/>
        <v>0</v>
      </c>
      <c r="N142" s="488"/>
      <c r="O142" s="479">
        <f t="shared" si="44"/>
        <v>0</v>
      </c>
      <c r="P142" s="479">
        <f t="shared" si="45"/>
        <v>0</v>
      </c>
    </row>
    <row r="143" spans="2:16" ht="12.5">
      <c r="B143" s="160" t="str">
        <f t="shared" si="27"/>
        <v/>
      </c>
      <c r="C143" s="473">
        <f>IF(D93="","-",+C142+1)</f>
        <v>2054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8"/>
        <v>0</v>
      </c>
      <c r="G143" s="486">
        <f t="shared" si="39"/>
        <v>0</v>
      </c>
      <c r="H143" s="489">
        <f t="shared" si="40"/>
        <v>0</v>
      </c>
      <c r="I143" s="543">
        <f t="shared" si="41"/>
        <v>0</v>
      </c>
      <c r="J143" s="479">
        <f t="shared" si="42"/>
        <v>0</v>
      </c>
      <c r="K143" s="479"/>
      <c r="L143" s="488"/>
      <c r="M143" s="479">
        <f t="shared" si="43"/>
        <v>0</v>
      </c>
      <c r="N143" s="488"/>
      <c r="O143" s="479">
        <f t="shared" si="44"/>
        <v>0</v>
      </c>
      <c r="P143" s="479">
        <f t="shared" si="45"/>
        <v>0</v>
      </c>
    </row>
    <row r="144" spans="2:16" ht="12.5">
      <c r="B144" s="160" t="str">
        <f t="shared" si="27"/>
        <v/>
      </c>
      <c r="C144" s="473">
        <f>IF(D93="","-",+C143+1)</f>
        <v>2055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8"/>
        <v>0</v>
      </c>
      <c r="G144" s="486">
        <f t="shared" si="39"/>
        <v>0</v>
      </c>
      <c r="H144" s="489">
        <f t="shared" si="40"/>
        <v>0</v>
      </c>
      <c r="I144" s="543">
        <f t="shared" si="41"/>
        <v>0</v>
      </c>
      <c r="J144" s="479">
        <f t="shared" si="42"/>
        <v>0</v>
      </c>
      <c r="K144" s="479"/>
      <c r="L144" s="488"/>
      <c r="M144" s="479">
        <f t="shared" si="43"/>
        <v>0</v>
      </c>
      <c r="N144" s="488"/>
      <c r="O144" s="479">
        <f t="shared" si="44"/>
        <v>0</v>
      </c>
      <c r="P144" s="479">
        <f t="shared" si="45"/>
        <v>0</v>
      </c>
    </row>
    <row r="145" spans="2:16" ht="12.5">
      <c r="B145" s="160" t="str">
        <f t="shared" si="27"/>
        <v/>
      </c>
      <c r="C145" s="473">
        <f>IF(D93="","-",+C144+1)</f>
        <v>2056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8"/>
        <v>0</v>
      </c>
      <c r="G145" s="486">
        <f t="shared" si="39"/>
        <v>0</v>
      </c>
      <c r="H145" s="489">
        <f t="shared" si="40"/>
        <v>0</v>
      </c>
      <c r="I145" s="543">
        <f t="shared" si="41"/>
        <v>0</v>
      </c>
      <c r="J145" s="479">
        <f t="shared" si="42"/>
        <v>0</v>
      </c>
      <c r="K145" s="479"/>
      <c r="L145" s="488"/>
      <c r="M145" s="479">
        <f t="shared" si="43"/>
        <v>0</v>
      </c>
      <c r="N145" s="488"/>
      <c r="O145" s="479">
        <f t="shared" si="44"/>
        <v>0</v>
      </c>
      <c r="P145" s="479">
        <f t="shared" si="45"/>
        <v>0</v>
      </c>
    </row>
    <row r="146" spans="2:16" ht="12.5">
      <c r="B146" s="160" t="str">
        <f t="shared" si="27"/>
        <v/>
      </c>
      <c r="C146" s="473">
        <f>IF(D93="","-",+C145+1)</f>
        <v>2057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ref="F146:F154" si="46">+D146-E146</f>
        <v>0</v>
      </c>
      <c r="G146" s="486">
        <f t="shared" ref="G146:G154" si="47">+(F146+D146)/2</f>
        <v>0</v>
      </c>
      <c r="H146" s="489">
        <f t="shared" si="40"/>
        <v>0</v>
      </c>
      <c r="I146" s="543">
        <f t="shared" si="41"/>
        <v>0</v>
      </c>
      <c r="J146" s="479">
        <f t="shared" si="42"/>
        <v>0</v>
      </c>
      <c r="K146" s="479"/>
      <c r="L146" s="488"/>
      <c r="M146" s="479">
        <f t="shared" si="43"/>
        <v>0</v>
      </c>
      <c r="N146" s="488"/>
      <c r="O146" s="479">
        <f t="shared" si="44"/>
        <v>0</v>
      </c>
      <c r="P146" s="479">
        <f t="shared" si="45"/>
        <v>0</v>
      </c>
    </row>
    <row r="147" spans="2:16" ht="12.5">
      <c r="B147" s="160" t="str">
        <f t="shared" si="27"/>
        <v/>
      </c>
      <c r="C147" s="473">
        <f>IF(D93="","-",+C146+1)</f>
        <v>2058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6"/>
        <v>0</v>
      </c>
      <c r="G147" s="486">
        <f t="shared" si="47"/>
        <v>0</v>
      </c>
      <c r="H147" s="489">
        <f t="shared" si="40"/>
        <v>0</v>
      </c>
      <c r="I147" s="543">
        <f t="shared" si="41"/>
        <v>0</v>
      </c>
      <c r="J147" s="479">
        <f t="shared" si="42"/>
        <v>0</v>
      </c>
      <c r="K147" s="479"/>
      <c r="L147" s="488"/>
      <c r="M147" s="479">
        <f t="shared" si="43"/>
        <v>0</v>
      </c>
      <c r="N147" s="488"/>
      <c r="O147" s="479">
        <f t="shared" si="44"/>
        <v>0</v>
      </c>
      <c r="P147" s="479">
        <f t="shared" si="45"/>
        <v>0</v>
      </c>
    </row>
    <row r="148" spans="2:16" ht="12.5">
      <c r="B148" s="160" t="str">
        <f t="shared" si="27"/>
        <v/>
      </c>
      <c r="C148" s="473">
        <f>IF(D93="","-",+C147+1)</f>
        <v>2059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6"/>
        <v>0</v>
      </c>
      <c r="G148" s="486">
        <f t="shared" si="47"/>
        <v>0</v>
      </c>
      <c r="H148" s="489">
        <f t="shared" si="40"/>
        <v>0</v>
      </c>
      <c r="I148" s="543">
        <f t="shared" si="41"/>
        <v>0</v>
      </c>
      <c r="J148" s="479">
        <f t="shared" si="42"/>
        <v>0</v>
      </c>
      <c r="K148" s="479"/>
      <c r="L148" s="488"/>
      <c r="M148" s="479">
        <f t="shared" si="43"/>
        <v>0</v>
      </c>
      <c r="N148" s="488"/>
      <c r="O148" s="479">
        <f t="shared" si="44"/>
        <v>0</v>
      </c>
      <c r="P148" s="479">
        <f t="shared" si="45"/>
        <v>0</v>
      </c>
    </row>
    <row r="149" spans="2:16" ht="12.5">
      <c r="B149" s="160" t="str">
        <f t="shared" si="27"/>
        <v/>
      </c>
      <c r="C149" s="473">
        <f>IF(D93="","-",+C148+1)</f>
        <v>2060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6"/>
        <v>0</v>
      </c>
      <c r="G149" s="486">
        <f t="shared" si="47"/>
        <v>0</v>
      </c>
      <c r="H149" s="489">
        <f t="shared" si="40"/>
        <v>0</v>
      </c>
      <c r="I149" s="543">
        <f t="shared" si="41"/>
        <v>0</v>
      </c>
      <c r="J149" s="479">
        <f t="shared" si="42"/>
        <v>0</v>
      </c>
      <c r="K149" s="479"/>
      <c r="L149" s="488"/>
      <c r="M149" s="479">
        <f t="shared" si="43"/>
        <v>0</v>
      </c>
      <c r="N149" s="488"/>
      <c r="O149" s="479">
        <f t="shared" si="44"/>
        <v>0</v>
      </c>
      <c r="P149" s="479">
        <f t="shared" si="45"/>
        <v>0</v>
      </c>
    </row>
    <row r="150" spans="2:16" ht="12.5">
      <c r="B150" s="160" t="str">
        <f t="shared" si="27"/>
        <v/>
      </c>
      <c r="C150" s="473">
        <f>IF(D93="","-",+C149+1)</f>
        <v>2061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6"/>
        <v>0</v>
      </c>
      <c r="G150" s="486">
        <f t="shared" si="47"/>
        <v>0</v>
      </c>
      <c r="H150" s="489">
        <f t="shared" si="40"/>
        <v>0</v>
      </c>
      <c r="I150" s="543">
        <f t="shared" si="41"/>
        <v>0</v>
      </c>
      <c r="J150" s="479">
        <f t="shared" si="42"/>
        <v>0</v>
      </c>
      <c r="K150" s="479"/>
      <c r="L150" s="488"/>
      <c r="M150" s="479">
        <f t="shared" si="43"/>
        <v>0</v>
      </c>
      <c r="N150" s="488"/>
      <c r="O150" s="479">
        <f t="shared" si="44"/>
        <v>0</v>
      </c>
      <c r="P150" s="479">
        <f t="shared" si="45"/>
        <v>0</v>
      </c>
    </row>
    <row r="151" spans="2:16" ht="12.5">
      <c r="B151" s="160" t="str">
        <f t="shared" si="27"/>
        <v/>
      </c>
      <c r="C151" s="473">
        <f>IF(D93="","-",+C150+1)</f>
        <v>2062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6"/>
        <v>0</v>
      </c>
      <c r="G151" s="486">
        <f t="shared" si="47"/>
        <v>0</v>
      </c>
      <c r="H151" s="489">
        <f t="shared" si="40"/>
        <v>0</v>
      </c>
      <c r="I151" s="543">
        <f t="shared" si="41"/>
        <v>0</v>
      </c>
      <c r="J151" s="479">
        <f t="shared" si="42"/>
        <v>0</v>
      </c>
      <c r="K151" s="479"/>
      <c r="L151" s="488"/>
      <c r="M151" s="479">
        <f t="shared" si="43"/>
        <v>0</v>
      </c>
      <c r="N151" s="488"/>
      <c r="O151" s="479">
        <f t="shared" si="44"/>
        <v>0</v>
      </c>
      <c r="P151" s="479">
        <f t="shared" si="45"/>
        <v>0</v>
      </c>
    </row>
    <row r="152" spans="2:16" ht="12.5">
      <c r="B152" s="160" t="str">
        <f t="shared" si="27"/>
        <v/>
      </c>
      <c r="C152" s="473">
        <f>IF(D93="","-",+C151+1)</f>
        <v>2063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6"/>
        <v>0</v>
      </c>
      <c r="G152" s="486">
        <f t="shared" si="47"/>
        <v>0</v>
      </c>
      <c r="H152" s="489">
        <f t="shared" si="40"/>
        <v>0</v>
      </c>
      <c r="I152" s="543">
        <f t="shared" si="41"/>
        <v>0</v>
      </c>
      <c r="J152" s="479">
        <f t="shared" si="42"/>
        <v>0</v>
      </c>
      <c r="K152" s="479"/>
      <c r="L152" s="488"/>
      <c r="M152" s="479">
        <f t="shared" si="43"/>
        <v>0</v>
      </c>
      <c r="N152" s="488"/>
      <c r="O152" s="479">
        <f t="shared" si="44"/>
        <v>0</v>
      </c>
      <c r="P152" s="479">
        <f t="shared" si="45"/>
        <v>0</v>
      </c>
    </row>
    <row r="153" spans="2:16" ht="12.5">
      <c r="B153" s="160" t="str">
        <f t="shared" si="27"/>
        <v/>
      </c>
      <c r="C153" s="473">
        <f>IF(D93="","-",+C152+1)</f>
        <v>2064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6"/>
        <v>0</v>
      </c>
      <c r="G153" s="486">
        <f t="shared" si="47"/>
        <v>0</v>
      </c>
      <c r="H153" s="489">
        <f t="shared" si="40"/>
        <v>0</v>
      </c>
      <c r="I153" s="543">
        <f t="shared" si="41"/>
        <v>0</v>
      </c>
      <c r="J153" s="479">
        <f t="shared" si="42"/>
        <v>0</v>
      </c>
      <c r="K153" s="479"/>
      <c r="L153" s="488"/>
      <c r="M153" s="479">
        <f t="shared" si="43"/>
        <v>0</v>
      </c>
      <c r="N153" s="488"/>
      <c r="O153" s="479">
        <f t="shared" si="44"/>
        <v>0</v>
      </c>
      <c r="P153" s="479">
        <f t="shared" si="45"/>
        <v>0</v>
      </c>
    </row>
    <row r="154" spans="2:16" ht="13" thickBot="1">
      <c r="B154" s="160" t="str">
        <f t="shared" si="27"/>
        <v/>
      </c>
      <c r="C154" s="490">
        <f>IF(D93="","-",+C153+1)</f>
        <v>2065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46"/>
        <v>0</v>
      </c>
      <c r="G154" s="491">
        <f t="shared" si="47"/>
        <v>0</v>
      </c>
      <c r="H154" s="493">
        <f t="shared" si="40"/>
        <v>0</v>
      </c>
      <c r="I154" s="546">
        <f t="shared" si="41"/>
        <v>0</v>
      </c>
      <c r="J154" s="496">
        <f t="shared" si="42"/>
        <v>0</v>
      </c>
      <c r="K154" s="479"/>
      <c r="L154" s="495"/>
      <c r="M154" s="496">
        <f t="shared" si="43"/>
        <v>0</v>
      </c>
      <c r="N154" s="495"/>
      <c r="O154" s="496">
        <f t="shared" si="44"/>
        <v>0</v>
      </c>
      <c r="P154" s="496">
        <f t="shared" si="45"/>
        <v>0</v>
      </c>
    </row>
    <row r="155" spans="2:16" ht="12.5">
      <c r="C155" s="347" t="s">
        <v>77</v>
      </c>
      <c r="D155" s="348"/>
      <c r="E155" s="348">
        <f>SUM(E99:E154)</f>
        <v>96566</v>
      </c>
      <c r="F155" s="348"/>
      <c r="G155" s="348"/>
      <c r="H155" s="348">
        <f>SUM(H99:H154)</f>
        <v>337987.35653719946</v>
      </c>
      <c r="I155" s="348">
        <f>SUM(I99:I154)</f>
        <v>337987.35653719946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3" width="17.7265625" style="148" customWidth="1"/>
    <col min="14" max="14" width="16.7265625" style="148" customWidth="1"/>
    <col min="15" max="15" width="18.4531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11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570" t="s">
        <v>263</v>
      </c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165912.69365934882</v>
      </c>
      <c r="P5" s="233"/>
    </row>
    <row r="6" spans="1:16" ht="15.5">
      <c r="C6" s="571" t="s">
        <v>264</v>
      </c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165912.69365934882</v>
      </c>
      <c r="O6" s="233"/>
      <c r="P6" s="233"/>
    </row>
    <row r="7" spans="1:16" ht="13.5" thickBot="1">
      <c r="C7" s="432" t="s">
        <v>46</v>
      </c>
      <c r="D7" s="433" t="s">
        <v>229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6" thickBot="1">
      <c r="C8" s="572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228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f>1493723*94%</f>
        <v>1404099.6199999999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2011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31202.213777777775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2011</v>
      </c>
      <c r="D17" s="474">
        <v>1624000</v>
      </c>
      <c r="E17" s="475">
        <v>15921.568627450981</v>
      </c>
      <c r="F17" s="474">
        <v>1608078.4313725489</v>
      </c>
      <c r="G17" s="475">
        <v>267655.54041850357</v>
      </c>
      <c r="H17" s="482">
        <v>267655.54041850357</v>
      </c>
      <c r="I17" s="476">
        <f>H17-G17</f>
        <v>0</v>
      </c>
      <c r="J17" s="476"/>
      <c r="K17" s="555">
        <f t="shared" ref="K17:K22" si="0">G17</f>
        <v>267655.54041850357</v>
      </c>
      <c r="L17" s="563">
        <f t="shared" ref="L17:L48" si="1">IF(K17&lt;&gt;0,+G17-K17,0)</f>
        <v>0</v>
      </c>
      <c r="M17" s="555">
        <f t="shared" ref="M17:M22" si="2">H17</f>
        <v>267655.54041850357</v>
      </c>
      <c r="N17" s="478">
        <f t="shared" ref="N17:N48" si="3">IF(M17&lt;&gt;0,+H17-M17,0)</f>
        <v>0</v>
      </c>
      <c r="O17" s="479">
        <f t="shared" ref="O17:O48" si="4">+N17-L17</f>
        <v>0</v>
      </c>
      <c r="P17" s="243"/>
    </row>
    <row r="18" spans="2:16" ht="12.5">
      <c r="B18" s="160" t="str">
        <f t="shared" ref="B18:B49" si="5">IF(D18=F17,"","IU")</f>
        <v>IU</v>
      </c>
      <c r="C18" s="473">
        <f>IF(D11="","-",+C17+1)</f>
        <v>2012</v>
      </c>
      <c r="D18" s="480">
        <v>1420815.4313725489</v>
      </c>
      <c r="E18" s="481">
        <v>27629.557692307691</v>
      </c>
      <c r="F18" s="480">
        <v>1393185.8736802412</v>
      </c>
      <c r="G18" s="481">
        <v>221570.55769230769</v>
      </c>
      <c r="H18" s="482">
        <v>221570.55769230769</v>
      </c>
      <c r="I18" s="476">
        <f t="shared" ref="I18:I48" si="6">H18-G18</f>
        <v>0</v>
      </c>
      <c r="J18" s="476"/>
      <c r="K18" s="477">
        <f t="shared" si="0"/>
        <v>221570.55769230769</v>
      </c>
      <c r="L18" s="551">
        <f t="shared" si="1"/>
        <v>0</v>
      </c>
      <c r="M18" s="477">
        <f t="shared" si="2"/>
        <v>221570.55769230769</v>
      </c>
      <c r="N18" s="479">
        <f t="shared" si="3"/>
        <v>0</v>
      </c>
      <c r="O18" s="479">
        <f t="shared" si="4"/>
        <v>0</v>
      </c>
      <c r="P18" s="243"/>
    </row>
    <row r="19" spans="2:16" ht="12.5">
      <c r="B19" s="160" t="str">
        <f t="shared" si="5"/>
        <v>IU</v>
      </c>
      <c r="C19" s="473">
        <f>IF(D11="","-",+C18+1)</f>
        <v>2013</v>
      </c>
      <c r="D19" s="480">
        <v>1450171.8736802414</v>
      </c>
      <c r="E19" s="481">
        <v>28725.442307692309</v>
      </c>
      <c r="F19" s="480">
        <v>1421446.4313725492</v>
      </c>
      <c r="G19" s="481">
        <v>231717.44230769231</v>
      </c>
      <c r="H19" s="482">
        <v>231717.44230769231</v>
      </c>
      <c r="I19" s="476">
        <v>0</v>
      </c>
      <c r="J19" s="476"/>
      <c r="K19" s="477">
        <f t="shared" si="0"/>
        <v>231717.44230769231</v>
      </c>
      <c r="L19" s="551">
        <f t="shared" ref="L19:L24" si="7">IF(K19&lt;&gt;0,+G19-K19,0)</f>
        <v>0</v>
      </c>
      <c r="M19" s="477">
        <f t="shared" si="2"/>
        <v>231717.44230769231</v>
      </c>
      <c r="N19" s="479">
        <f t="shared" ref="N19:N24" si="8">IF(M19&lt;&gt;0,+H19-M19,0)</f>
        <v>0</v>
      </c>
      <c r="O19" s="479">
        <f t="shared" ref="O19:O24" si="9">+N19-L19</f>
        <v>0</v>
      </c>
      <c r="P19" s="243"/>
    </row>
    <row r="20" spans="2:16" ht="12.5">
      <c r="B20" s="160" t="str">
        <f t="shared" si="5"/>
        <v>IU</v>
      </c>
      <c r="C20" s="473">
        <f>IF(D11="","-",+C19+1)</f>
        <v>2014</v>
      </c>
      <c r="D20" s="480">
        <v>1331823.0513725488</v>
      </c>
      <c r="E20" s="481">
        <v>27001.915769230767</v>
      </c>
      <c r="F20" s="480">
        <v>1304821.135603318</v>
      </c>
      <c r="G20" s="481">
        <v>206621.91576923078</v>
      </c>
      <c r="H20" s="482">
        <v>206621.91576923078</v>
      </c>
      <c r="I20" s="476">
        <v>0</v>
      </c>
      <c r="J20" s="476"/>
      <c r="K20" s="477">
        <f t="shared" si="0"/>
        <v>206621.91576923078</v>
      </c>
      <c r="L20" s="551">
        <f t="shared" si="7"/>
        <v>0</v>
      </c>
      <c r="M20" s="477">
        <f t="shared" si="2"/>
        <v>206621.91576923078</v>
      </c>
      <c r="N20" s="479">
        <f t="shared" si="8"/>
        <v>0</v>
      </c>
      <c r="O20" s="479">
        <f t="shared" si="9"/>
        <v>0</v>
      </c>
      <c r="P20" s="243"/>
    </row>
    <row r="21" spans="2:16" ht="12.5">
      <c r="B21" s="160" t="str">
        <f t="shared" si="5"/>
        <v/>
      </c>
      <c r="C21" s="473">
        <f>IF(D11="","-",+C20+1)</f>
        <v>2015</v>
      </c>
      <c r="D21" s="480">
        <v>1304821.135603318</v>
      </c>
      <c r="E21" s="481">
        <v>27001.915769230767</v>
      </c>
      <c r="F21" s="480">
        <v>1277819.2198340872</v>
      </c>
      <c r="G21" s="481">
        <v>203176.91576923078</v>
      </c>
      <c r="H21" s="482">
        <v>203176.91576923078</v>
      </c>
      <c r="I21" s="476">
        <v>0</v>
      </c>
      <c r="J21" s="476"/>
      <c r="K21" s="477">
        <f t="shared" si="0"/>
        <v>203176.91576923078</v>
      </c>
      <c r="L21" s="551">
        <f t="shared" si="7"/>
        <v>0</v>
      </c>
      <c r="M21" s="477">
        <f t="shared" si="2"/>
        <v>203176.91576923078</v>
      </c>
      <c r="N21" s="479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5"/>
        <v/>
      </c>
      <c r="C22" s="473">
        <f>IF(D11="","-",+C21+1)</f>
        <v>2016</v>
      </c>
      <c r="D22" s="480">
        <v>1277819.2198340872</v>
      </c>
      <c r="E22" s="481">
        <v>27001.915769230767</v>
      </c>
      <c r="F22" s="480">
        <v>1250817.3040648564</v>
      </c>
      <c r="G22" s="481">
        <v>191058.91576923078</v>
      </c>
      <c r="H22" s="482">
        <v>191058.91576923078</v>
      </c>
      <c r="I22" s="476">
        <f t="shared" si="6"/>
        <v>0</v>
      </c>
      <c r="J22" s="476"/>
      <c r="K22" s="477">
        <f t="shared" si="0"/>
        <v>191058.91576923078</v>
      </c>
      <c r="L22" s="551">
        <f t="shared" si="7"/>
        <v>0</v>
      </c>
      <c r="M22" s="477">
        <f t="shared" si="2"/>
        <v>191058.91576923078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5"/>
        <v/>
      </c>
      <c r="C23" s="473">
        <f>IF(D11="","-",+C22+1)</f>
        <v>2017</v>
      </c>
      <c r="D23" s="480">
        <v>1250817.3040648564</v>
      </c>
      <c r="E23" s="481">
        <v>30523.904782608693</v>
      </c>
      <c r="F23" s="480">
        <v>1220293.3992822478</v>
      </c>
      <c r="G23" s="481">
        <v>185818.9047826087</v>
      </c>
      <c r="H23" s="482">
        <v>185818.9047826087</v>
      </c>
      <c r="I23" s="476">
        <f t="shared" si="6"/>
        <v>0</v>
      </c>
      <c r="J23" s="476"/>
      <c r="K23" s="477">
        <f>G23</f>
        <v>185818.9047826087</v>
      </c>
      <c r="L23" s="551">
        <f t="shared" si="7"/>
        <v>0</v>
      </c>
      <c r="M23" s="477">
        <f>H23</f>
        <v>185818.9047826087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5"/>
        <v/>
      </c>
      <c r="C24" s="473">
        <f>IF(D11="","-",+C23+1)</f>
        <v>2018</v>
      </c>
      <c r="D24" s="480">
        <v>1220293.3992822478</v>
      </c>
      <c r="E24" s="481">
        <v>31202.213777777775</v>
      </c>
      <c r="F24" s="480">
        <v>1189091.18550447</v>
      </c>
      <c r="G24" s="481">
        <v>175474.88659362236</v>
      </c>
      <c r="H24" s="482">
        <v>175474.88659362236</v>
      </c>
      <c r="I24" s="476">
        <f t="shared" si="6"/>
        <v>0</v>
      </c>
      <c r="J24" s="476"/>
      <c r="K24" s="477">
        <f>G24</f>
        <v>175474.88659362236</v>
      </c>
      <c r="L24" s="551">
        <f t="shared" si="7"/>
        <v>0</v>
      </c>
      <c r="M24" s="477">
        <f>H24</f>
        <v>175474.88659362236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5"/>
        <v/>
      </c>
      <c r="C25" s="473">
        <f>IF(D11="","-",+C24+1)</f>
        <v>2019</v>
      </c>
      <c r="D25" s="480">
        <v>1189091.18550447</v>
      </c>
      <c r="E25" s="481">
        <v>35102.4905</v>
      </c>
      <c r="F25" s="480">
        <v>1153988.6950044699</v>
      </c>
      <c r="G25" s="481">
        <v>165912.69365934882</v>
      </c>
      <c r="H25" s="482">
        <v>165912.69365934882</v>
      </c>
      <c r="I25" s="476">
        <f t="shared" si="6"/>
        <v>0</v>
      </c>
      <c r="J25" s="476"/>
      <c r="K25" s="477">
        <f>G25</f>
        <v>165912.69365934882</v>
      </c>
      <c r="L25" s="551">
        <f t="shared" ref="L25" si="10">IF(K25&lt;&gt;0,+G25-K25,0)</f>
        <v>0</v>
      </c>
      <c r="M25" s="477">
        <f>H25</f>
        <v>165912.69365934882</v>
      </c>
      <c r="N25" s="479">
        <f t="shared" ref="N25" si="11">IF(M25&lt;&gt;0,+H25-M25,0)</f>
        <v>0</v>
      </c>
      <c r="O25" s="479">
        <f t="shared" ref="O25" si="12">+N25-L25</f>
        <v>0</v>
      </c>
      <c r="P25" s="243"/>
    </row>
    <row r="26" spans="2:16" ht="12.5">
      <c r="B26" s="160" t="str">
        <f t="shared" si="5"/>
        <v/>
      </c>
      <c r="C26" s="473">
        <f>IF(D11="","-",+C25+1)</f>
        <v>2020</v>
      </c>
      <c r="D26" s="486">
        <f>IF(F25+SUM(E$17:E25)=D$10,F25,D$10-SUM(E$17:E25))</f>
        <v>1153988.6950044699</v>
      </c>
      <c r="E26" s="485">
        <f>IF(+I14&lt;F25,I14,D26)</f>
        <v>31202.213777777775</v>
      </c>
      <c r="F26" s="486">
        <f t="shared" ref="F26:F49" si="13">+D26-E26</f>
        <v>1122786.4812266922</v>
      </c>
      <c r="G26" s="487">
        <f t="shared" ref="G26:G49" si="14">ROUND(I$12*F26,0)+E26</f>
        <v>183155.21377777777</v>
      </c>
      <c r="H26" s="456">
        <f t="shared" ref="H26:H49" si="15">ROUND(I$13*F26,0)+E26</f>
        <v>183155.21377777777</v>
      </c>
      <c r="I26" s="476">
        <f t="shared" si="6"/>
        <v>0</v>
      </c>
      <c r="J26" s="476"/>
      <c r="K26" s="488"/>
      <c r="L26" s="479">
        <f t="shared" si="1"/>
        <v>0</v>
      </c>
      <c r="M26" s="488"/>
      <c r="N26" s="479">
        <f t="shared" si="3"/>
        <v>0</v>
      </c>
      <c r="O26" s="479">
        <f t="shared" si="4"/>
        <v>0</v>
      </c>
      <c r="P26" s="243"/>
    </row>
    <row r="27" spans="2:16" ht="12.5">
      <c r="B27" s="160" t="str">
        <f t="shared" si="5"/>
        <v/>
      </c>
      <c r="C27" s="473">
        <f>IF(D11="","-",+C26+1)</f>
        <v>2021</v>
      </c>
      <c r="D27" s="484">
        <f>IF(F26+SUM(E$17:E26)=D$10,F26,D$10-SUM(E$17:E26))</f>
        <v>1122786.4812266922</v>
      </c>
      <c r="E27" s="485">
        <f>IF(+I14&lt;F26,I14,D27)</f>
        <v>31202.213777777775</v>
      </c>
      <c r="F27" s="486">
        <f t="shared" si="13"/>
        <v>1091584.2674489145</v>
      </c>
      <c r="G27" s="487">
        <f t="shared" si="14"/>
        <v>178932.21377777777</v>
      </c>
      <c r="H27" s="456">
        <f t="shared" si="15"/>
        <v>178932.21377777777</v>
      </c>
      <c r="I27" s="476">
        <f t="shared" si="6"/>
        <v>0</v>
      </c>
      <c r="J27" s="476"/>
      <c r="K27" s="488"/>
      <c r="L27" s="479">
        <f t="shared" si="1"/>
        <v>0</v>
      </c>
      <c r="M27" s="488"/>
      <c r="N27" s="479">
        <f t="shared" si="3"/>
        <v>0</v>
      </c>
      <c r="O27" s="479">
        <f t="shared" si="4"/>
        <v>0</v>
      </c>
      <c r="P27" s="243"/>
    </row>
    <row r="28" spans="2:16" ht="12.5">
      <c r="B28" s="160" t="str">
        <f t="shared" si="5"/>
        <v/>
      </c>
      <c r="C28" s="473">
        <f>IF(D11="","-",+C27+1)</f>
        <v>2022</v>
      </c>
      <c r="D28" s="486">
        <f>IF(F27+SUM(E$17:E27)=D$10,F27,D$10-SUM(E$17:E27))</f>
        <v>1091584.2674489145</v>
      </c>
      <c r="E28" s="485">
        <f>IF(+I14&lt;F27,I14,D28)</f>
        <v>31202.213777777775</v>
      </c>
      <c r="F28" s="486">
        <f t="shared" si="13"/>
        <v>1060382.0536711367</v>
      </c>
      <c r="G28" s="487">
        <f t="shared" si="14"/>
        <v>174709.21377777777</v>
      </c>
      <c r="H28" s="456">
        <f t="shared" si="15"/>
        <v>174709.21377777777</v>
      </c>
      <c r="I28" s="476">
        <f t="shared" si="6"/>
        <v>0</v>
      </c>
      <c r="J28" s="476"/>
      <c r="K28" s="488"/>
      <c r="L28" s="479">
        <f t="shared" si="1"/>
        <v>0</v>
      </c>
      <c r="M28" s="488"/>
      <c r="N28" s="479">
        <f t="shared" si="3"/>
        <v>0</v>
      </c>
      <c r="O28" s="479">
        <f t="shared" si="4"/>
        <v>0</v>
      </c>
      <c r="P28" s="243"/>
    </row>
    <row r="29" spans="2:16" ht="12.5">
      <c r="B29" s="160" t="str">
        <f t="shared" si="5"/>
        <v/>
      </c>
      <c r="C29" s="473">
        <f>IF(D11="","-",+C28+1)</f>
        <v>2023</v>
      </c>
      <c r="D29" s="486">
        <f>IF(F28+SUM(E$17:E28)=D$10,F28,D$10-SUM(E$17:E28))</f>
        <v>1060382.0536711367</v>
      </c>
      <c r="E29" s="485">
        <f>IF(+I14&lt;F28,I14,D29)</f>
        <v>31202.213777777775</v>
      </c>
      <c r="F29" s="486">
        <f t="shared" si="13"/>
        <v>1029179.839893359</v>
      </c>
      <c r="G29" s="487">
        <f t="shared" si="14"/>
        <v>170486.21377777777</v>
      </c>
      <c r="H29" s="456">
        <f t="shared" si="15"/>
        <v>170486.21377777777</v>
      </c>
      <c r="I29" s="476">
        <f t="shared" si="6"/>
        <v>0</v>
      </c>
      <c r="J29" s="476"/>
      <c r="K29" s="488"/>
      <c r="L29" s="479">
        <f t="shared" si="1"/>
        <v>0</v>
      </c>
      <c r="M29" s="488"/>
      <c r="N29" s="479">
        <f t="shared" si="3"/>
        <v>0</v>
      </c>
      <c r="O29" s="479">
        <f t="shared" si="4"/>
        <v>0</v>
      </c>
      <c r="P29" s="243"/>
    </row>
    <row r="30" spans="2:16" ht="12.5">
      <c r="B30" s="160" t="str">
        <f t="shared" si="5"/>
        <v/>
      </c>
      <c r="C30" s="473">
        <f>IF(D11="","-",+C29+1)</f>
        <v>2024</v>
      </c>
      <c r="D30" s="486">
        <f>IF(F29+SUM(E$17:E29)=D$10,F29,D$10-SUM(E$17:E29))</f>
        <v>1029179.839893359</v>
      </c>
      <c r="E30" s="485">
        <f>IF(+I14&lt;F29,I14,D30)</f>
        <v>31202.213777777775</v>
      </c>
      <c r="F30" s="486">
        <f t="shared" si="13"/>
        <v>997977.62611558125</v>
      </c>
      <c r="G30" s="487">
        <f t="shared" si="14"/>
        <v>166264.21377777777</v>
      </c>
      <c r="H30" s="456">
        <f t="shared" si="15"/>
        <v>166264.21377777777</v>
      </c>
      <c r="I30" s="476">
        <f t="shared" si="6"/>
        <v>0</v>
      </c>
      <c r="J30" s="476"/>
      <c r="K30" s="488"/>
      <c r="L30" s="479">
        <f t="shared" si="1"/>
        <v>0</v>
      </c>
      <c r="M30" s="488"/>
      <c r="N30" s="479">
        <f t="shared" si="3"/>
        <v>0</v>
      </c>
      <c r="O30" s="479">
        <f t="shared" si="4"/>
        <v>0</v>
      </c>
      <c r="P30" s="243"/>
    </row>
    <row r="31" spans="2:16" ht="12.5">
      <c r="B31" s="160" t="str">
        <f t="shared" si="5"/>
        <v/>
      </c>
      <c r="C31" s="473">
        <f>IF(D11="","-",+C30+1)</f>
        <v>2025</v>
      </c>
      <c r="D31" s="486">
        <f>IF(F30+SUM(E$17:E30)=D$10,F30,D$10-SUM(E$17:E30))</f>
        <v>997977.62611558125</v>
      </c>
      <c r="E31" s="485">
        <f>IF(+I14&lt;F30,I14,D31)</f>
        <v>31202.213777777775</v>
      </c>
      <c r="F31" s="486">
        <f t="shared" si="13"/>
        <v>966775.41233780351</v>
      </c>
      <c r="G31" s="487">
        <f t="shared" si="14"/>
        <v>162041.21377777777</v>
      </c>
      <c r="H31" s="456">
        <f t="shared" si="15"/>
        <v>162041.21377777777</v>
      </c>
      <c r="I31" s="476">
        <f t="shared" si="6"/>
        <v>0</v>
      </c>
      <c r="J31" s="476"/>
      <c r="K31" s="488"/>
      <c r="L31" s="479">
        <f t="shared" si="1"/>
        <v>0</v>
      </c>
      <c r="M31" s="488"/>
      <c r="N31" s="479">
        <f t="shared" si="3"/>
        <v>0</v>
      </c>
      <c r="O31" s="479">
        <f t="shared" si="4"/>
        <v>0</v>
      </c>
      <c r="P31" s="243"/>
    </row>
    <row r="32" spans="2:16" ht="12.5">
      <c r="B32" s="160" t="str">
        <f t="shared" si="5"/>
        <v/>
      </c>
      <c r="C32" s="473">
        <f>IF(D11="","-",+C31+1)</f>
        <v>2026</v>
      </c>
      <c r="D32" s="486">
        <f>IF(F31+SUM(E$17:E31)=D$10,F31,D$10-SUM(E$17:E31))</f>
        <v>966775.41233780351</v>
      </c>
      <c r="E32" s="485">
        <f>IF(+I14&lt;F31,I14,D32)</f>
        <v>31202.213777777775</v>
      </c>
      <c r="F32" s="486">
        <f t="shared" si="13"/>
        <v>935573.19856002578</v>
      </c>
      <c r="G32" s="487">
        <f t="shared" si="14"/>
        <v>157818.21377777777</v>
      </c>
      <c r="H32" s="456">
        <f t="shared" si="15"/>
        <v>157818.21377777777</v>
      </c>
      <c r="I32" s="476">
        <f t="shared" si="6"/>
        <v>0</v>
      </c>
      <c r="J32" s="476"/>
      <c r="K32" s="488"/>
      <c r="L32" s="479">
        <f t="shared" si="1"/>
        <v>0</v>
      </c>
      <c r="M32" s="488"/>
      <c r="N32" s="479">
        <f t="shared" si="3"/>
        <v>0</v>
      </c>
      <c r="O32" s="479">
        <f t="shared" si="4"/>
        <v>0</v>
      </c>
      <c r="P32" s="243"/>
    </row>
    <row r="33" spans="2:16" ht="12.5">
      <c r="B33" s="160" t="str">
        <f t="shared" si="5"/>
        <v/>
      </c>
      <c r="C33" s="473">
        <f>IF(D11="","-",+C32+1)</f>
        <v>2027</v>
      </c>
      <c r="D33" s="486">
        <f>IF(F32+SUM(E$17:E32)=D$10,F32,D$10-SUM(E$17:E32))</f>
        <v>935573.19856002578</v>
      </c>
      <c r="E33" s="485">
        <f>IF(+I14&lt;F32,I14,D33)</f>
        <v>31202.213777777775</v>
      </c>
      <c r="F33" s="486">
        <f t="shared" si="13"/>
        <v>904370.98478224804</v>
      </c>
      <c r="G33" s="487">
        <f t="shared" si="14"/>
        <v>153595.21377777777</v>
      </c>
      <c r="H33" s="456">
        <f t="shared" si="15"/>
        <v>153595.21377777777</v>
      </c>
      <c r="I33" s="476">
        <f t="shared" si="6"/>
        <v>0</v>
      </c>
      <c r="J33" s="476"/>
      <c r="K33" s="488"/>
      <c r="L33" s="479">
        <f t="shared" si="1"/>
        <v>0</v>
      </c>
      <c r="M33" s="488"/>
      <c r="N33" s="479">
        <f t="shared" si="3"/>
        <v>0</v>
      </c>
      <c r="O33" s="479">
        <f t="shared" si="4"/>
        <v>0</v>
      </c>
      <c r="P33" s="243"/>
    </row>
    <row r="34" spans="2:16" ht="12.5">
      <c r="B34" s="160" t="str">
        <f t="shared" si="5"/>
        <v/>
      </c>
      <c r="C34" s="473">
        <f>IF(D11="","-",+C33+1)</f>
        <v>2028</v>
      </c>
      <c r="D34" s="486">
        <f>IF(F33+SUM(E$17:E33)=D$10,F33,D$10-SUM(E$17:E33))</f>
        <v>904370.98478224804</v>
      </c>
      <c r="E34" s="485">
        <f>IF(+I14&lt;F33,I14,D34)</f>
        <v>31202.213777777775</v>
      </c>
      <c r="F34" s="486">
        <f t="shared" si="13"/>
        <v>873168.7710044703</v>
      </c>
      <c r="G34" s="487">
        <f t="shared" si="14"/>
        <v>149373.21377777777</v>
      </c>
      <c r="H34" s="456">
        <f t="shared" si="15"/>
        <v>149373.21377777777</v>
      </c>
      <c r="I34" s="476">
        <f t="shared" si="6"/>
        <v>0</v>
      </c>
      <c r="J34" s="476"/>
      <c r="K34" s="488"/>
      <c r="L34" s="479">
        <f t="shared" si="1"/>
        <v>0</v>
      </c>
      <c r="M34" s="488"/>
      <c r="N34" s="479">
        <f t="shared" si="3"/>
        <v>0</v>
      </c>
      <c r="O34" s="479">
        <f t="shared" si="4"/>
        <v>0</v>
      </c>
      <c r="P34" s="243"/>
    </row>
    <row r="35" spans="2:16" ht="12.5">
      <c r="B35" s="160" t="str">
        <f t="shared" si="5"/>
        <v/>
      </c>
      <c r="C35" s="473">
        <f>IF(D11="","-",+C34+1)</f>
        <v>2029</v>
      </c>
      <c r="D35" s="486">
        <f>IF(F34+SUM(E$17:E34)=D$10,F34,D$10-SUM(E$17:E34))</f>
        <v>873168.7710044703</v>
      </c>
      <c r="E35" s="485">
        <f>IF(+I14&lt;F34,I14,D35)</f>
        <v>31202.213777777775</v>
      </c>
      <c r="F35" s="486">
        <f t="shared" si="13"/>
        <v>841966.55722669256</v>
      </c>
      <c r="G35" s="487">
        <f t="shared" si="14"/>
        <v>145150.21377777777</v>
      </c>
      <c r="H35" s="456">
        <f t="shared" si="15"/>
        <v>145150.21377777777</v>
      </c>
      <c r="I35" s="476">
        <f t="shared" si="6"/>
        <v>0</v>
      </c>
      <c r="J35" s="476"/>
      <c r="K35" s="488"/>
      <c r="L35" s="479">
        <f t="shared" si="1"/>
        <v>0</v>
      </c>
      <c r="M35" s="488"/>
      <c r="N35" s="479">
        <f t="shared" si="3"/>
        <v>0</v>
      </c>
      <c r="O35" s="479">
        <f t="shared" si="4"/>
        <v>0</v>
      </c>
      <c r="P35" s="243"/>
    </row>
    <row r="36" spans="2:16" ht="12.5">
      <c r="B36" s="160" t="str">
        <f t="shared" si="5"/>
        <v/>
      </c>
      <c r="C36" s="473">
        <f>IF(D11="","-",+C35+1)</f>
        <v>2030</v>
      </c>
      <c r="D36" s="486">
        <f>IF(F35+SUM(E$17:E35)=D$10,F35,D$10-SUM(E$17:E35))</f>
        <v>841966.55722669256</v>
      </c>
      <c r="E36" s="485">
        <f>IF(+I14&lt;F35,I14,D36)</f>
        <v>31202.213777777775</v>
      </c>
      <c r="F36" s="486">
        <f t="shared" si="13"/>
        <v>810764.34344891482</v>
      </c>
      <c r="G36" s="487">
        <f t="shared" si="14"/>
        <v>140927.21377777777</v>
      </c>
      <c r="H36" s="456">
        <f t="shared" si="15"/>
        <v>140927.21377777777</v>
      </c>
      <c r="I36" s="476">
        <f t="shared" si="6"/>
        <v>0</v>
      </c>
      <c r="J36" s="476"/>
      <c r="K36" s="488"/>
      <c r="L36" s="479">
        <f t="shared" si="1"/>
        <v>0</v>
      </c>
      <c r="M36" s="488"/>
      <c r="N36" s="479">
        <f t="shared" si="3"/>
        <v>0</v>
      </c>
      <c r="O36" s="479">
        <f t="shared" si="4"/>
        <v>0</v>
      </c>
      <c r="P36" s="243"/>
    </row>
    <row r="37" spans="2:16" ht="12.5">
      <c r="B37" s="160" t="str">
        <f t="shared" si="5"/>
        <v/>
      </c>
      <c r="C37" s="473">
        <f>IF(D11="","-",+C36+1)</f>
        <v>2031</v>
      </c>
      <c r="D37" s="486">
        <f>IF(F36+SUM(E$17:E36)=D$10,F36,D$10-SUM(E$17:E36))</f>
        <v>810764.34344891482</v>
      </c>
      <c r="E37" s="485">
        <f>IF(+I14&lt;F36,I14,D37)</f>
        <v>31202.213777777775</v>
      </c>
      <c r="F37" s="486">
        <f t="shared" si="13"/>
        <v>779562.12967113708</v>
      </c>
      <c r="G37" s="487">
        <f t="shared" si="14"/>
        <v>136704.21377777777</v>
      </c>
      <c r="H37" s="456">
        <f t="shared" si="15"/>
        <v>136704.21377777777</v>
      </c>
      <c r="I37" s="476">
        <f t="shared" si="6"/>
        <v>0</v>
      </c>
      <c r="J37" s="476"/>
      <c r="K37" s="488"/>
      <c r="L37" s="479">
        <f t="shared" si="1"/>
        <v>0</v>
      </c>
      <c r="M37" s="488"/>
      <c r="N37" s="479">
        <f t="shared" si="3"/>
        <v>0</v>
      </c>
      <c r="O37" s="479">
        <f t="shared" si="4"/>
        <v>0</v>
      </c>
      <c r="P37" s="243"/>
    </row>
    <row r="38" spans="2:16" ht="12.5">
      <c r="B38" s="160" t="str">
        <f t="shared" si="5"/>
        <v/>
      </c>
      <c r="C38" s="473">
        <f>IF(D11="","-",+C37+1)</f>
        <v>2032</v>
      </c>
      <c r="D38" s="486">
        <f>IF(F37+SUM(E$17:E37)=D$10,F37,D$10-SUM(E$17:E37))</f>
        <v>779562.12967113708</v>
      </c>
      <c r="E38" s="485">
        <f>IF(+I14&lt;F37,I14,D38)</f>
        <v>31202.213777777775</v>
      </c>
      <c r="F38" s="486">
        <f t="shared" si="13"/>
        <v>748359.91589335934</v>
      </c>
      <c r="G38" s="487">
        <f t="shared" si="14"/>
        <v>132482.21377777777</v>
      </c>
      <c r="H38" s="456">
        <f t="shared" si="15"/>
        <v>132482.21377777777</v>
      </c>
      <c r="I38" s="476">
        <f t="shared" si="6"/>
        <v>0</v>
      </c>
      <c r="J38" s="476"/>
      <c r="K38" s="488"/>
      <c r="L38" s="479">
        <f t="shared" si="1"/>
        <v>0</v>
      </c>
      <c r="M38" s="488"/>
      <c r="N38" s="479">
        <f t="shared" si="3"/>
        <v>0</v>
      </c>
      <c r="O38" s="479">
        <f t="shared" si="4"/>
        <v>0</v>
      </c>
      <c r="P38" s="243"/>
    </row>
    <row r="39" spans="2:16" ht="12.5">
      <c r="B39" s="160" t="str">
        <f t="shared" si="5"/>
        <v/>
      </c>
      <c r="C39" s="473">
        <f>IF(D11="","-",+C38+1)</f>
        <v>2033</v>
      </c>
      <c r="D39" s="486">
        <f>IF(F38+SUM(E$17:E38)=D$10,F38,D$10-SUM(E$17:E38))</f>
        <v>748359.91589335934</v>
      </c>
      <c r="E39" s="485">
        <f>IF(+I14&lt;F38,I14,D39)</f>
        <v>31202.213777777775</v>
      </c>
      <c r="F39" s="486">
        <f t="shared" si="13"/>
        <v>717157.7021155816</v>
      </c>
      <c r="G39" s="487">
        <f t="shared" si="14"/>
        <v>128259.21377777777</v>
      </c>
      <c r="H39" s="456">
        <f t="shared" si="15"/>
        <v>128259.21377777777</v>
      </c>
      <c r="I39" s="476">
        <f t="shared" si="6"/>
        <v>0</v>
      </c>
      <c r="J39" s="476"/>
      <c r="K39" s="488"/>
      <c r="L39" s="479">
        <f t="shared" si="1"/>
        <v>0</v>
      </c>
      <c r="M39" s="488"/>
      <c r="N39" s="479">
        <f t="shared" si="3"/>
        <v>0</v>
      </c>
      <c r="O39" s="479">
        <f t="shared" si="4"/>
        <v>0</v>
      </c>
      <c r="P39" s="243"/>
    </row>
    <row r="40" spans="2:16" ht="12.5">
      <c r="B40" s="160" t="str">
        <f t="shared" si="5"/>
        <v/>
      </c>
      <c r="C40" s="473">
        <f>IF(D11="","-",+C39+1)</f>
        <v>2034</v>
      </c>
      <c r="D40" s="486">
        <f>IF(F39+SUM(E$17:E39)=D$10,F39,D$10-SUM(E$17:E39))</f>
        <v>717157.7021155816</v>
      </c>
      <c r="E40" s="485">
        <f>IF(+I14&lt;F39,I14,D40)</f>
        <v>31202.213777777775</v>
      </c>
      <c r="F40" s="486">
        <f t="shared" si="13"/>
        <v>685955.48833780386</v>
      </c>
      <c r="G40" s="487">
        <f t="shared" si="14"/>
        <v>124036.21377777777</v>
      </c>
      <c r="H40" s="456">
        <f t="shared" si="15"/>
        <v>124036.21377777777</v>
      </c>
      <c r="I40" s="476">
        <f t="shared" si="6"/>
        <v>0</v>
      </c>
      <c r="J40" s="476"/>
      <c r="K40" s="488"/>
      <c r="L40" s="479">
        <f t="shared" si="1"/>
        <v>0</v>
      </c>
      <c r="M40" s="488"/>
      <c r="N40" s="479">
        <f t="shared" si="3"/>
        <v>0</v>
      </c>
      <c r="O40" s="479">
        <f t="shared" si="4"/>
        <v>0</v>
      </c>
      <c r="P40" s="243"/>
    </row>
    <row r="41" spans="2:16" ht="12.5">
      <c r="B41" s="160" t="str">
        <f t="shared" si="5"/>
        <v/>
      </c>
      <c r="C41" s="473">
        <f>IF(D11="","-",+C40+1)</f>
        <v>2035</v>
      </c>
      <c r="D41" s="486">
        <f>IF(F40+SUM(E$17:E40)=D$10,F40,D$10-SUM(E$17:E40))</f>
        <v>685955.48833780386</v>
      </c>
      <c r="E41" s="485">
        <f>IF(+I14&lt;F40,I14,D41)</f>
        <v>31202.213777777775</v>
      </c>
      <c r="F41" s="486">
        <f t="shared" si="13"/>
        <v>654753.27456002613</v>
      </c>
      <c r="G41" s="487">
        <f t="shared" si="14"/>
        <v>119813.21377777777</v>
      </c>
      <c r="H41" s="456">
        <f t="shared" si="15"/>
        <v>119813.21377777777</v>
      </c>
      <c r="I41" s="476">
        <f t="shared" si="6"/>
        <v>0</v>
      </c>
      <c r="J41" s="476"/>
      <c r="K41" s="488"/>
      <c r="L41" s="479">
        <f t="shared" si="1"/>
        <v>0</v>
      </c>
      <c r="M41" s="488"/>
      <c r="N41" s="479">
        <f t="shared" si="3"/>
        <v>0</v>
      </c>
      <c r="O41" s="479">
        <f t="shared" si="4"/>
        <v>0</v>
      </c>
      <c r="P41" s="243"/>
    </row>
    <row r="42" spans="2:16" ht="12.5">
      <c r="B42" s="160" t="str">
        <f t="shared" si="5"/>
        <v/>
      </c>
      <c r="C42" s="473">
        <f>IF(D11="","-",+C41+1)</f>
        <v>2036</v>
      </c>
      <c r="D42" s="486">
        <f>IF(F41+SUM(E$17:E41)=D$10,F41,D$10-SUM(E$17:E41))</f>
        <v>654753.27456002613</v>
      </c>
      <c r="E42" s="485">
        <f>IF(+I14&lt;F41,I14,D42)</f>
        <v>31202.213777777775</v>
      </c>
      <c r="F42" s="486">
        <f t="shared" si="13"/>
        <v>623551.06078224839</v>
      </c>
      <c r="G42" s="487">
        <f t="shared" si="14"/>
        <v>115591.21377777777</v>
      </c>
      <c r="H42" s="456">
        <f t="shared" si="15"/>
        <v>115591.21377777777</v>
      </c>
      <c r="I42" s="476">
        <f t="shared" si="6"/>
        <v>0</v>
      </c>
      <c r="J42" s="476"/>
      <c r="K42" s="488"/>
      <c r="L42" s="479">
        <f t="shared" si="1"/>
        <v>0</v>
      </c>
      <c r="M42" s="488"/>
      <c r="N42" s="479">
        <f t="shared" si="3"/>
        <v>0</v>
      </c>
      <c r="O42" s="479">
        <f t="shared" si="4"/>
        <v>0</v>
      </c>
      <c r="P42" s="243"/>
    </row>
    <row r="43" spans="2:16" ht="12.5">
      <c r="B43" s="160" t="str">
        <f t="shared" si="5"/>
        <v/>
      </c>
      <c r="C43" s="473">
        <f>IF(D11="","-",+C42+1)</f>
        <v>2037</v>
      </c>
      <c r="D43" s="486">
        <f>IF(F42+SUM(E$17:E42)=D$10,F42,D$10-SUM(E$17:E42))</f>
        <v>623551.06078224839</v>
      </c>
      <c r="E43" s="485">
        <f>IF(+I14&lt;F42,I14,D43)</f>
        <v>31202.213777777775</v>
      </c>
      <c r="F43" s="486">
        <f t="shared" si="13"/>
        <v>592348.84700447065</v>
      </c>
      <c r="G43" s="487">
        <f t="shared" si="14"/>
        <v>111368.21377777777</v>
      </c>
      <c r="H43" s="456">
        <f t="shared" si="15"/>
        <v>111368.21377777777</v>
      </c>
      <c r="I43" s="476">
        <f t="shared" si="6"/>
        <v>0</v>
      </c>
      <c r="J43" s="476"/>
      <c r="K43" s="488"/>
      <c r="L43" s="479">
        <f t="shared" si="1"/>
        <v>0</v>
      </c>
      <c r="M43" s="488"/>
      <c r="N43" s="479">
        <f t="shared" si="3"/>
        <v>0</v>
      </c>
      <c r="O43" s="479">
        <f t="shared" si="4"/>
        <v>0</v>
      </c>
      <c r="P43" s="243"/>
    </row>
    <row r="44" spans="2:16" ht="12.5">
      <c r="B44" s="160" t="str">
        <f t="shared" si="5"/>
        <v/>
      </c>
      <c r="C44" s="473">
        <f>IF(D11="","-",+C43+1)</f>
        <v>2038</v>
      </c>
      <c r="D44" s="486">
        <f>IF(F43+SUM(E$17:E43)=D$10,F43,D$10-SUM(E$17:E43))</f>
        <v>592348.84700447065</v>
      </c>
      <c r="E44" s="485">
        <f>IF(+I14&lt;F43,I14,D44)</f>
        <v>31202.213777777775</v>
      </c>
      <c r="F44" s="486">
        <f t="shared" si="13"/>
        <v>561146.63322669291</v>
      </c>
      <c r="G44" s="487">
        <f t="shared" si="14"/>
        <v>107145.21377777777</v>
      </c>
      <c r="H44" s="456">
        <f t="shared" si="15"/>
        <v>107145.21377777777</v>
      </c>
      <c r="I44" s="476">
        <f t="shared" si="6"/>
        <v>0</v>
      </c>
      <c r="J44" s="476"/>
      <c r="K44" s="488"/>
      <c r="L44" s="479">
        <f t="shared" si="1"/>
        <v>0</v>
      </c>
      <c r="M44" s="488"/>
      <c r="N44" s="479">
        <f t="shared" si="3"/>
        <v>0</v>
      </c>
      <c r="O44" s="479">
        <f t="shared" si="4"/>
        <v>0</v>
      </c>
      <c r="P44" s="243"/>
    </row>
    <row r="45" spans="2:16" ht="12.5">
      <c r="B45" s="160" t="str">
        <f t="shared" si="5"/>
        <v/>
      </c>
      <c r="C45" s="473">
        <f>IF(D11="","-",+C44+1)</f>
        <v>2039</v>
      </c>
      <c r="D45" s="486">
        <f>IF(F44+SUM(E$17:E44)=D$10,F44,D$10-SUM(E$17:E44))</f>
        <v>561146.63322669291</v>
      </c>
      <c r="E45" s="485">
        <f>IF(+I14&lt;F44,I14,D45)</f>
        <v>31202.213777777775</v>
      </c>
      <c r="F45" s="486">
        <f t="shared" si="13"/>
        <v>529944.41944891517</v>
      </c>
      <c r="G45" s="487">
        <f t="shared" si="14"/>
        <v>102922.21377777777</v>
      </c>
      <c r="H45" s="456">
        <f t="shared" si="15"/>
        <v>102922.21377777777</v>
      </c>
      <c r="I45" s="476">
        <f t="shared" si="6"/>
        <v>0</v>
      </c>
      <c r="J45" s="476"/>
      <c r="K45" s="488"/>
      <c r="L45" s="479">
        <f t="shared" si="1"/>
        <v>0</v>
      </c>
      <c r="M45" s="488"/>
      <c r="N45" s="479">
        <f t="shared" si="3"/>
        <v>0</v>
      </c>
      <c r="O45" s="479">
        <f t="shared" si="4"/>
        <v>0</v>
      </c>
      <c r="P45" s="243"/>
    </row>
    <row r="46" spans="2:16" ht="12.5">
      <c r="B46" s="160" t="str">
        <f t="shared" si="5"/>
        <v/>
      </c>
      <c r="C46" s="473">
        <f>IF(D11="","-",+C45+1)</f>
        <v>2040</v>
      </c>
      <c r="D46" s="486">
        <f>IF(F45+SUM(E$17:E45)=D$10,F45,D$10-SUM(E$17:E45))</f>
        <v>529944.41944891517</v>
      </c>
      <c r="E46" s="485">
        <f>IF(+I14&lt;F45,I14,D46)</f>
        <v>31202.213777777775</v>
      </c>
      <c r="F46" s="486">
        <f t="shared" si="13"/>
        <v>498742.20567113737</v>
      </c>
      <c r="G46" s="487">
        <f t="shared" si="14"/>
        <v>98699.213777777768</v>
      </c>
      <c r="H46" s="456">
        <f t="shared" si="15"/>
        <v>98699.213777777768</v>
      </c>
      <c r="I46" s="476">
        <f t="shared" si="6"/>
        <v>0</v>
      </c>
      <c r="J46" s="476"/>
      <c r="K46" s="488"/>
      <c r="L46" s="479">
        <f t="shared" si="1"/>
        <v>0</v>
      </c>
      <c r="M46" s="488"/>
      <c r="N46" s="479">
        <f t="shared" si="3"/>
        <v>0</v>
      </c>
      <c r="O46" s="479">
        <f t="shared" si="4"/>
        <v>0</v>
      </c>
      <c r="P46" s="243"/>
    </row>
    <row r="47" spans="2:16" ht="12.5">
      <c r="B47" s="160" t="str">
        <f t="shared" si="5"/>
        <v/>
      </c>
      <c r="C47" s="473">
        <f>IF(D11="","-",+C46+1)</f>
        <v>2041</v>
      </c>
      <c r="D47" s="486">
        <f>IF(F46+SUM(E$17:E46)=D$10,F46,D$10-SUM(E$17:E46))</f>
        <v>498742.20567113737</v>
      </c>
      <c r="E47" s="485">
        <f>IF(+I14&lt;F46,I14,D47)</f>
        <v>31202.213777777775</v>
      </c>
      <c r="F47" s="486">
        <f t="shared" si="13"/>
        <v>467539.99189335958</v>
      </c>
      <c r="G47" s="487">
        <f t="shared" si="14"/>
        <v>94477.213777777768</v>
      </c>
      <c r="H47" s="456">
        <f t="shared" si="15"/>
        <v>94477.213777777768</v>
      </c>
      <c r="I47" s="476">
        <f t="shared" si="6"/>
        <v>0</v>
      </c>
      <c r="J47" s="476"/>
      <c r="K47" s="488"/>
      <c r="L47" s="479">
        <f t="shared" si="1"/>
        <v>0</v>
      </c>
      <c r="M47" s="488"/>
      <c r="N47" s="479">
        <f t="shared" si="3"/>
        <v>0</v>
      </c>
      <c r="O47" s="479">
        <f t="shared" si="4"/>
        <v>0</v>
      </c>
      <c r="P47" s="243"/>
    </row>
    <row r="48" spans="2:16" ht="12.5">
      <c r="B48" s="160" t="str">
        <f t="shared" si="5"/>
        <v/>
      </c>
      <c r="C48" s="473">
        <f>IF(D11="","-",+C47+1)</f>
        <v>2042</v>
      </c>
      <c r="D48" s="486">
        <f>IF(F47+SUM(E$17:E47)=D$10,F47,D$10-SUM(E$17:E47))</f>
        <v>467539.99189335958</v>
      </c>
      <c r="E48" s="485">
        <f>IF(+I14&lt;F47,I14,D48)</f>
        <v>31202.213777777775</v>
      </c>
      <c r="F48" s="486">
        <f t="shared" si="13"/>
        <v>436337.77811558178</v>
      </c>
      <c r="G48" s="487">
        <f t="shared" si="14"/>
        <v>90254.213777777768</v>
      </c>
      <c r="H48" s="456">
        <f t="shared" si="15"/>
        <v>90254.213777777768</v>
      </c>
      <c r="I48" s="476">
        <f t="shared" si="6"/>
        <v>0</v>
      </c>
      <c r="J48" s="476"/>
      <c r="K48" s="488"/>
      <c r="L48" s="479">
        <f t="shared" si="1"/>
        <v>0</v>
      </c>
      <c r="M48" s="488"/>
      <c r="N48" s="479">
        <f t="shared" si="3"/>
        <v>0</v>
      </c>
      <c r="O48" s="479">
        <f t="shared" si="4"/>
        <v>0</v>
      </c>
      <c r="P48" s="243"/>
    </row>
    <row r="49" spans="2:16" ht="12.5">
      <c r="B49" s="160" t="str">
        <f t="shared" si="5"/>
        <v/>
      </c>
      <c r="C49" s="473">
        <f>IF(D11="","-",+C48+1)</f>
        <v>2043</v>
      </c>
      <c r="D49" s="486">
        <f>IF(F48+SUM(E$17:E48)=D$10,F48,D$10-SUM(E$17:E48))</f>
        <v>436337.77811558178</v>
      </c>
      <c r="E49" s="485">
        <f>IF(+I14&lt;F48,I14,D49)</f>
        <v>31202.213777777775</v>
      </c>
      <c r="F49" s="486">
        <f t="shared" si="13"/>
        <v>405135.56433780398</v>
      </c>
      <c r="G49" s="487">
        <f t="shared" si="14"/>
        <v>86031.213777777768</v>
      </c>
      <c r="H49" s="456">
        <f t="shared" si="15"/>
        <v>86031.213777777768</v>
      </c>
      <c r="I49" s="476">
        <f t="shared" ref="I49:I72" si="16">H49-G49</f>
        <v>0</v>
      </c>
      <c r="J49" s="476"/>
      <c r="K49" s="488"/>
      <c r="L49" s="479">
        <f t="shared" ref="L49:L72" si="17">IF(K49&lt;&gt;0,+G49-K49,0)</f>
        <v>0</v>
      </c>
      <c r="M49" s="488"/>
      <c r="N49" s="479">
        <f t="shared" ref="N49:N72" si="18">IF(M49&lt;&gt;0,+H49-M49,0)</f>
        <v>0</v>
      </c>
      <c r="O49" s="479">
        <f t="shared" ref="O49:O72" si="19">+N49-L49</f>
        <v>0</v>
      </c>
      <c r="P49" s="243"/>
    </row>
    <row r="50" spans="2:16" ht="12.5">
      <c r="B50" s="160" t="str">
        <f t="shared" ref="B50:B72" si="20">IF(D50=F49,"","IU")</f>
        <v/>
      </c>
      <c r="C50" s="473">
        <f>IF(D11="","-",+C49+1)</f>
        <v>2044</v>
      </c>
      <c r="D50" s="486">
        <f>IF(F49+SUM(E$17:E49)=D$10,F49,D$10-SUM(E$17:E49))</f>
        <v>405135.56433780398</v>
      </c>
      <c r="E50" s="485">
        <f>IF(+I14&lt;F49,I14,D50)</f>
        <v>31202.213777777775</v>
      </c>
      <c r="F50" s="486">
        <f t="shared" ref="F50:F72" si="21">+D50-E50</f>
        <v>373933.35056002619</v>
      </c>
      <c r="G50" s="487">
        <f t="shared" ref="G50:G72" si="22">ROUND(I$12*F50,0)+E50</f>
        <v>81808.213777777768</v>
      </c>
      <c r="H50" s="456">
        <f t="shared" ref="H50:H72" si="23">ROUND(I$13*F50,0)+E50</f>
        <v>81808.213777777768</v>
      </c>
      <c r="I50" s="476">
        <f t="shared" si="16"/>
        <v>0</v>
      </c>
      <c r="J50" s="476"/>
      <c r="K50" s="488"/>
      <c r="L50" s="479">
        <f t="shared" si="17"/>
        <v>0</v>
      </c>
      <c r="M50" s="488"/>
      <c r="N50" s="479">
        <f t="shared" si="18"/>
        <v>0</v>
      </c>
      <c r="O50" s="479">
        <f t="shared" si="19"/>
        <v>0</v>
      </c>
      <c r="P50" s="243"/>
    </row>
    <row r="51" spans="2:16" ht="12.5">
      <c r="B51" s="160" t="str">
        <f t="shared" si="20"/>
        <v/>
      </c>
      <c r="C51" s="473">
        <f>IF(D11="","-",+C50+1)</f>
        <v>2045</v>
      </c>
      <c r="D51" s="486">
        <f>IF(F50+SUM(E$17:E50)=D$10,F50,D$10-SUM(E$17:E50))</f>
        <v>373933.35056002619</v>
      </c>
      <c r="E51" s="485">
        <f>IF(+I14&lt;F50,I14,D51)</f>
        <v>31202.213777777775</v>
      </c>
      <c r="F51" s="486">
        <f t="shared" si="21"/>
        <v>342731.13678224839</v>
      </c>
      <c r="G51" s="487">
        <f t="shared" si="22"/>
        <v>77586.213777777768</v>
      </c>
      <c r="H51" s="456">
        <f t="shared" si="23"/>
        <v>77586.213777777768</v>
      </c>
      <c r="I51" s="476">
        <f t="shared" si="16"/>
        <v>0</v>
      </c>
      <c r="J51" s="476"/>
      <c r="K51" s="488"/>
      <c r="L51" s="479">
        <f t="shared" si="17"/>
        <v>0</v>
      </c>
      <c r="M51" s="488"/>
      <c r="N51" s="479">
        <f t="shared" si="18"/>
        <v>0</v>
      </c>
      <c r="O51" s="479">
        <f t="shared" si="19"/>
        <v>0</v>
      </c>
      <c r="P51" s="243"/>
    </row>
    <row r="52" spans="2:16" ht="12.5">
      <c r="B52" s="160" t="str">
        <f t="shared" si="20"/>
        <v/>
      </c>
      <c r="C52" s="473">
        <f>IF(D11="","-",+C51+1)</f>
        <v>2046</v>
      </c>
      <c r="D52" s="486">
        <f>IF(F51+SUM(E$17:E51)=D$10,F51,D$10-SUM(E$17:E51))</f>
        <v>342731.13678224839</v>
      </c>
      <c r="E52" s="485">
        <f>IF(+I14&lt;F51,I14,D52)</f>
        <v>31202.213777777775</v>
      </c>
      <c r="F52" s="486">
        <f t="shared" si="21"/>
        <v>311528.92300447059</v>
      </c>
      <c r="G52" s="487">
        <f t="shared" si="22"/>
        <v>73363.213777777768</v>
      </c>
      <c r="H52" s="456">
        <f t="shared" si="23"/>
        <v>73363.213777777768</v>
      </c>
      <c r="I52" s="476">
        <f t="shared" si="16"/>
        <v>0</v>
      </c>
      <c r="J52" s="476"/>
      <c r="K52" s="488"/>
      <c r="L52" s="479">
        <f t="shared" si="17"/>
        <v>0</v>
      </c>
      <c r="M52" s="488"/>
      <c r="N52" s="479">
        <f t="shared" si="18"/>
        <v>0</v>
      </c>
      <c r="O52" s="479">
        <f t="shared" si="19"/>
        <v>0</v>
      </c>
      <c r="P52" s="243"/>
    </row>
    <row r="53" spans="2:16" ht="12.5">
      <c r="B53" s="160" t="str">
        <f t="shared" si="20"/>
        <v/>
      </c>
      <c r="C53" s="473">
        <f>IF(D11="","-",+C52+1)</f>
        <v>2047</v>
      </c>
      <c r="D53" s="486">
        <f>IF(F52+SUM(E$17:E52)=D$10,F52,D$10-SUM(E$17:E52))</f>
        <v>311528.92300447059</v>
      </c>
      <c r="E53" s="485">
        <f>IF(+I14&lt;F52,I14,D53)</f>
        <v>31202.213777777775</v>
      </c>
      <c r="F53" s="486">
        <f t="shared" si="21"/>
        <v>280326.70922669279</v>
      </c>
      <c r="G53" s="487">
        <f t="shared" si="22"/>
        <v>69140.213777777768</v>
      </c>
      <c r="H53" s="456">
        <f t="shared" si="23"/>
        <v>69140.213777777768</v>
      </c>
      <c r="I53" s="476">
        <f t="shared" si="16"/>
        <v>0</v>
      </c>
      <c r="J53" s="476"/>
      <c r="K53" s="488"/>
      <c r="L53" s="479">
        <f t="shared" si="17"/>
        <v>0</v>
      </c>
      <c r="M53" s="488"/>
      <c r="N53" s="479">
        <f t="shared" si="18"/>
        <v>0</v>
      </c>
      <c r="O53" s="479">
        <f t="shared" si="19"/>
        <v>0</v>
      </c>
      <c r="P53" s="243"/>
    </row>
    <row r="54" spans="2:16" ht="12.5">
      <c r="B54" s="160" t="str">
        <f t="shared" si="20"/>
        <v/>
      </c>
      <c r="C54" s="473">
        <f>IF(D11="","-",+C53+1)</f>
        <v>2048</v>
      </c>
      <c r="D54" s="486">
        <f>IF(F53+SUM(E$17:E53)=D$10,F53,D$10-SUM(E$17:E53))</f>
        <v>280326.70922669279</v>
      </c>
      <c r="E54" s="485">
        <f>IF(+I14&lt;F53,I14,D54)</f>
        <v>31202.213777777775</v>
      </c>
      <c r="F54" s="486">
        <f t="shared" si="21"/>
        <v>249124.49544891503</v>
      </c>
      <c r="G54" s="487">
        <f t="shared" si="22"/>
        <v>64917.213777777775</v>
      </c>
      <c r="H54" s="456">
        <f t="shared" si="23"/>
        <v>64917.213777777775</v>
      </c>
      <c r="I54" s="476">
        <f t="shared" si="16"/>
        <v>0</v>
      </c>
      <c r="J54" s="476"/>
      <c r="K54" s="488"/>
      <c r="L54" s="479">
        <f t="shared" si="17"/>
        <v>0</v>
      </c>
      <c r="M54" s="488"/>
      <c r="N54" s="479">
        <f t="shared" si="18"/>
        <v>0</v>
      </c>
      <c r="O54" s="479">
        <f t="shared" si="19"/>
        <v>0</v>
      </c>
      <c r="P54" s="243"/>
    </row>
    <row r="55" spans="2:16" ht="12.5">
      <c r="B55" s="160" t="str">
        <f t="shared" si="20"/>
        <v/>
      </c>
      <c r="C55" s="473">
        <f>IF(D11="","-",+C54+1)</f>
        <v>2049</v>
      </c>
      <c r="D55" s="486">
        <f>IF(F54+SUM(E$17:E54)=D$10,F54,D$10-SUM(E$17:E54))</f>
        <v>249124.49544891503</v>
      </c>
      <c r="E55" s="485">
        <f>IF(+I14&lt;F54,I14,D55)</f>
        <v>31202.213777777775</v>
      </c>
      <c r="F55" s="486">
        <f t="shared" si="21"/>
        <v>217922.28167113726</v>
      </c>
      <c r="G55" s="487">
        <f t="shared" si="22"/>
        <v>60695.213777777775</v>
      </c>
      <c r="H55" s="456">
        <f t="shared" si="23"/>
        <v>60695.213777777775</v>
      </c>
      <c r="I55" s="476">
        <f t="shared" si="16"/>
        <v>0</v>
      </c>
      <c r="J55" s="476"/>
      <c r="K55" s="488"/>
      <c r="L55" s="479">
        <f t="shared" si="17"/>
        <v>0</v>
      </c>
      <c r="M55" s="488"/>
      <c r="N55" s="479">
        <f t="shared" si="18"/>
        <v>0</v>
      </c>
      <c r="O55" s="479">
        <f t="shared" si="19"/>
        <v>0</v>
      </c>
      <c r="P55" s="243"/>
    </row>
    <row r="56" spans="2:16" ht="12.5">
      <c r="B56" s="160" t="str">
        <f t="shared" si="20"/>
        <v/>
      </c>
      <c r="C56" s="473">
        <f>IF(D11="","-",+C55+1)</f>
        <v>2050</v>
      </c>
      <c r="D56" s="486">
        <f>IF(F55+SUM(E$17:E55)=D$10,F55,D$10-SUM(E$17:E55))</f>
        <v>217922.28167113726</v>
      </c>
      <c r="E56" s="485">
        <f>IF(+I14&lt;F55,I14,D56)</f>
        <v>31202.213777777775</v>
      </c>
      <c r="F56" s="486">
        <f t="shared" si="21"/>
        <v>186720.06789335949</v>
      </c>
      <c r="G56" s="487">
        <f t="shared" si="22"/>
        <v>56472.213777777775</v>
      </c>
      <c r="H56" s="456">
        <f t="shared" si="23"/>
        <v>56472.213777777775</v>
      </c>
      <c r="I56" s="476">
        <f t="shared" si="16"/>
        <v>0</v>
      </c>
      <c r="J56" s="476"/>
      <c r="K56" s="488"/>
      <c r="L56" s="479">
        <f t="shared" si="17"/>
        <v>0</v>
      </c>
      <c r="M56" s="488"/>
      <c r="N56" s="479">
        <f t="shared" si="18"/>
        <v>0</v>
      </c>
      <c r="O56" s="479">
        <f t="shared" si="19"/>
        <v>0</v>
      </c>
      <c r="P56" s="243"/>
    </row>
    <row r="57" spans="2:16" ht="12.5">
      <c r="B57" s="160" t="str">
        <f t="shared" si="20"/>
        <v/>
      </c>
      <c r="C57" s="473">
        <f>IF(D11="","-",+C56+1)</f>
        <v>2051</v>
      </c>
      <c r="D57" s="486">
        <f>IF(F56+SUM(E$17:E56)=D$10,F56,D$10-SUM(E$17:E56))</f>
        <v>186720.06789335949</v>
      </c>
      <c r="E57" s="485">
        <f>IF(+I14&lt;F56,I14,D57)</f>
        <v>31202.213777777775</v>
      </c>
      <c r="F57" s="486">
        <f t="shared" si="21"/>
        <v>155517.85411558172</v>
      </c>
      <c r="G57" s="487">
        <f t="shared" si="22"/>
        <v>52249.213777777775</v>
      </c>
      <c r="H57" s="456">
        <f t="shared" si="23"/>
        <v>52249.213777777775</v>
      </c>
      <c r="I57" s="476">
        <f t="shared" si="16"/>
        <v>0</v>
      </c>
      <c r="J57" s="476"/>
      <c r="K57" s="488"/>
      <c r="L57" s="479">
        <f t="shared" si="17"/>
        <v>0</v>
      </c>
      <c r="M57" s="488"/>
      <c r="N57" s="479">
        <f t="shared" si="18"/>
        <v>0</v>
      </c>
      <c r="O57" s="479">
        <f t="shared" si="19"/>
        <v>0</v>
      </c>
      <c r="P57" s="243"/>
    </row>
    <row r="58" spans="2:16" ht="12.5">
      <c r="B58" s="160" t="str">
        <f t="shared" si="20"/>
        <v/>
      </c>
      <c r="C58" s="473">
        <f>IF(D11="","-",+C57+1)</f>
        <v>2052</v>
      </c>
      <c r="D58" s="486">
        <f>IF(F57+SUM(E$17:E57)=D$10,F57,D$10-SUM(E$17:E57))</f>
        <v>155517.85411558172</v>
      </c>
      <c r="E58" s="485">
        <f>IF(+I14&lt;F57,I14,D58)</f>
        <v>31202.213777777775</v>
      </c>
      <c r="F58" s="486">
        <f t="shared" si="21"/>
        <v>124315.64033780395</v>
      </c>
      <c r="G58" s="487">
        <f t="shared" si="22"/>
        <v>48026.213777777775</v>
      </c>
      <c r="H58" s="456">
        <f t="shared" si="23"/>
        <v>48026.213777777775</v>
      </c>
      <c r="I58" s="476">
        <f t="shared" si="16"/>
        <v>0</v>
      </c>
      <c r="J58" s="476"/>
      <c r="K58" s="488"/>
      <c r="L58" s="479">
        <f t="shared" si="17"/>
        <v>0</v>
      </c>
      <c r="M58" s="488"/>
      <c r="N58" s="479">
        <f t="shared" si="18"/>
        <v>0</v>
      </c>
      <c r="O58" s="479">
        <f t="shared" si="19"/>
        <v>0</v>
      </c>
      <c r="P58" s="243"/>
    </row>
    <row r="59" spans="2:16" ht="12.5">
      <c r="B59" s="160" t="str">
        <f t="shared" si="20"/>
        <v/>
      </c>
      <c r="C59" s="473">
        <f>IF(D11="","-",+C58+1)</f>
        <v>2053</v>
      </c>
      <c r="D59" s="486">
        <f>IF(F58+SUM(E$17:E58)=D$10,F58,D$10-SUM(E$17:E58))</f>
        <v>124315.64033780395</v>
      </c>
      <c r="E59" s="485">
        <f>IF(+I14&lt;F58,I14,D59)</f>
        <v>31202.213777777775</v>
      </c>
      <c r="F59" s="486">
        <f t="shared" si="21"/>
        <v>93113.426560026186</v>
      </c>
      <c r="G59" s="487">
        <f t="shared" si="22"/>
        <v>43804.213777777775</v>
      </c>
      <c r="H59" s="456">
        <f t="shared" si="23"/>
        <v>43804.213777777775</v>
      </c>
      <c r="I59" s="476">
        <f t="shared" si="16"/>
        <v>0</v>
      </c>
      <c r="J59" s="476"/>
      <c r="K59" s="488"/>
      <c r="L59" s="479">
        <f t="shared" si="17"/>
        <v>0</v>
      </c>
      <c r="M59" s="488"/>
      <c r="N59" s="479">
        <f t="shared" si="18"/>
        <v>0</v>
      </c>
      <c r="O59" s="479">
        <f t="shared" si="19"/>
        <v>0</v>
      </c>
      <c r="P59" s="243"/>
    </row>
    <row r="60" spans="2:16" ht="12.5">
      <c r="B60" s="160" t="str">
        <f t="shared" si="20"/>
        <v/>
      </c>
      <c r="C60" s="473">
        <f>IF(D11="","-",+C59+1)</f>
        <v>2054</v>
      </c>
      <c r="D60" s="486">
        <f>IF(F59+SUM(E$17:E59)=D$10,F59,D$10-SUM(E$17:E59))</f>
        <v>93113.426560026186</v>
      </c>
      <c r="E60" s="485">
        <f>IF(+I14&lt;F59,I14,D60)</f>
        <v>31202.213777777775</v>
      </c>
      <c r="F60" s="486">
        <f t="shared" si="21"/>
        <v>61911.212782248411</v>
      </c>
      <c r="G60" s="487">
        <f t="shared" si="22"/>
        <v>39581.213777777775</v>
      </c>
      <c r="H60" s="456">
        <f t="shared" si="23"/>
        <v>39581.213777777775</v>
      </c>
      <c r="I60" s="476">
        <f t="shared" si="16"/>
        <v>0</v>
      </c>
      <c r="J60" s="476"/>
      <c r="K60" s="488"/>
      <c r="L60" s="479">
        <f t="shared" si="17"/>
        <v>0</v>
      </c>
      <c r="M60" s="488"/>
      <c r="N60" s="479">
        <f t="shared" si="18"/>
        <v>0</v>
      </c>
      <c r="O60" s="479">
        <f t="shared" si="19"/>
        <v>0</v>
      </c>
      <c r="P60" s="243"/>
    </row>
    <row r="61" spans="2:16" ht="12.5">
      <c r="B61" s="160" t="str">
        <f t="shared" si="20"/>
        <v/>
      </c>
      <c r="C61" s="473">
        <f>IF(D11="","-",+C60+1)</f>
        <v>2055</v>
      </c>
      <c r="D61" s="486">
        <f>IF(F60+SUM(E$17:E60)=D$10,F60,D$10-SUM(E$17:E60))</f>
        <v>61911.212782248411</v>
      </c>
      <c r="E61" s="485">
        <f>IF(+I14&lt;F60,I14,D61)</f>
        <v>31202.213777777775</v>
      </c>
      <c r="F61" s="486">
        <f t="shared" si="21"/>
        <v>30708.999004470636</v>
      </c>
      <c r="G61" s="489">
        <f t="shared" si="22"/>
        <v>35358.213777777775</v>
      </c>
      <c r="H61" s="456">
        <f t="shared" si="23"/>
        <v>35358.213777777775</v>
      </c>
      <c r="I61" s="476">
        <f t="shared" si="16"/>
        <v>0</v>
      </c>
      <c r="J61" s="476"/>
      <c r="K61" s="488"/>
      <c r="L61" s="479">
        <f t="shared" si="17"/>
        <v>0</v>
      </c>
      <c r="M61" s="488"/>
      <c r="N61" s="479">
        <f t="shared" si="18"/>
        <v>0</v>
      </c>
      <c r="O61" s="479">
        <f t="shared" si="19"/>
        <v>0</v>
      </c>
      <c r="P61" s="243"/>
    </row>
    <row r="62" spans="2:16" ht="12.5">
      <c r="B62" s="160" t="str">
        <f t="shared" si="20"/>
        <v/>
      </c>
      <c r="C62" s="473">
        <f>IF(D11="","-",+C61+1)</f>
        <v>2056</v>
      </c>
      <c r="D62" s="486">
        <f>IF(F61+SUM(E$17:E61)=D$10,F61,D$10-SUM(E$17:E61))</f>
        <v>30708.999004470636</v>
      </c>
      <c r="E62" s="485">
        <f>IF(+I14&lt;F61,I14,D62)</f>
        <v>30708.999004470636</v>
      </c>
      <c r="F62" s="486">
        <f t="shared" si="21"/>
        <v>0</v>
      </c>
      <c r="G62" s="489">
        <f t="shared" si="22"/>
        <v>30708.999004470636</v>
      </c>
      <c r="H62" s="456">
        <f t="shared" si="23"/>
        <v>30708.999004470636</v>
      </c>
      <c r="I62" s="476">
        <f t="shared" si="16"/>
        <v>0</v>
      </c>
      <c r="J62" s="476"/>
      <c r="K62" s="488"/>
      <c r="L62" s="479">
        <f t="shared" si="17"/>
        <v>0</v>
      </c>
      <c r="M62" s="488"/>
      <c r="N62" s="479">
        <f t="shared" si="18"/>
        <v>0</v>
      </c>
      <c r="O62" s="479">
        <f t="shared" si="19"/>
        <v>0</v>
      </c>
      <c r="P62" s="243"/>
    </row>
    <row r="63" spans="2:16" ht="12.5">
      <c r="B63" s="160" t="str">
        <f t="shared" si="20"/>
        <v/>
      </c>
      <c r="C63" s="473">
        <f>IF(D11="","-",+C62+1)</f>
        <v>2057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21"/>
        <v>0</v>
      </c>
      <c r="G63" s="489">
        <f t="shared" si="22"/>
        <v>0</v>
      </c>
      <c r="H63" s="456">
        <f t="shared" si="23"/>
        <v>0</v>
      </c>
      <c r="I63" s="476">
        <f t="shared" si="16"/>
        <v>0</v>
      </c>
      <c r="J63" s="476"/>
      <c r="K63" s="488"/>
      <c r="L63" s="479">
        <f t="shared" si="17"/>
        <v>0</v>
      </c>
      <c r="M63" s="488"/>
      <c r="N63" s="479">
        <f t="shared" si="18"/>
        <v>0</v>
      </c>
      <c r="O63" s="479">
        <f t="shared" si="19"/>
        <v>0</v>
      </c>
      <c r="P63" s="243"/>
    </row>
    <row r="64" spans="2:16" ht="12.5">
      <c r="B64" s="160" t="str">
        <f t="shared" si="20"/>
        <v/>
      </c>
      <c r="C64" s="473">
        <f>IF(D11="","-",+C63+1)</f>
        <v>2058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21"/>
        <v>0</v>
      </c>
      <c r="G64" s="489">
        <f t="shared" si="22"/>
        <v>0</v>
      </c>
      <c r="H64" s="456">
        <f t="shared" si="23"/>
        <v>0</v>
      </c>
      <c r="I64" s="476">
        <f t="shared" si="16"/>
        <v>0</v>
      </c>
      <c r="J64" s="476"/>
      <c r="K64" s="488"/>
      <c r="L64" s="479">
        <f t="shared" si="17"/>
        <v>0</v>
      </c>
      <c r="M64" s="488"/>
      <c r="N64" s="479">
        <f t="shared" si="18"/>
        <v>0</v>
      </c>
      <c r="O64" s="479">
        <f t="shared" si="19"/>
        <v>0</v>
      </c>
      <c r="P64" s="243"/>
    </row>
    <row r="65" spans="2:16" ht="12.5">
      <c r="B65" s="160" t="str">
        <f t="shared" si="20"/>
        <v/>
      </c>
      <c r="C65" s="473">
        <f>IF(D11="","-",+C64+1)</f>
        <v>2059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21"/>
        <v>0</v>
      </c>
      <c r="G65" s="489">
        <f t="shared" si="22"/>
        <v>0</v>
      </c>
      <c r="H65" s="456">
        <f t="shared" si="23"/>
        <v>0</v>
      </c>
      <c r="I65" s="476">
        <f t="shared" si="16"/>
        <v>0</v>
      </c>
      <c r="J65" s="476"/>
      <c r="K65" s="488"/>
      <c r="L65" s="479">
        <f t="shared" si="17"/>
        <v>0</v>
      </c>
      <c r="M65" s="488"/>
      <c r="N65" s="479">
        <f t="shared" si="18"/>
        <v>0</v>
      </c>
      <c r="O65" s="479">
        <f t="shared" si="19"/>
        <v>0</v>
      </c>
      <c r="P65" s="243"/>
    </row>
    <row r="66" spans="2:16" ht="12.5">
      <c r="B66" s="160" t="str">
        <f t="shared" si="20"/>
        <v/>
      </c>
      <c r="C66" s="473">
        <f>IF(D11="","-",+C65+1)</f>
        <v>2060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21"/>
        <v>0</v>
      </c>
      <c r="G66" s="489">
        <f t="shared" si="22"/>
        <v>0</v>
      </c>
      <c r="H66" s="456">
        <f t="shared" si="23"/>
        <v>0</v>
      </c>
      <c r="I66" s="476">
        <f t="shared" si="16"/>
        <v>0</v>
      </c>
      <c r="J66" s="476"/>
      <c r="K66" s="488"/>
      <c r="L66" s="479">
        <f t="shared" si="17"/>
        <v>0</v>
      </c>
      <c r="M66" s="488"/>
      <c r="N66" s="479">
        <f t="shared" si="18"/>
        <v>0</v>
      </c>
      <c r="O66" s="479">
        <f t="shared" si="19"/>
        <v>0</v>
      </c>
      <c r="P66" s="243"/>
    </row>
    <row r="67" spans="2:16" ht="12.5">
      <c r="B67" s="160" t="str">
        <f t="shared" si="20"/>
        <v/>
      </c>
      <c r="C67" s="473">
        <f>IF(D11="","-",+C66+1)</f>
        <v>2061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21"/>
        <v>0</v>
      </c>
      <c r="G67" s="489">
        <f t="shared" si="22"/>
        <v>0</v>
      </c>
      <c r="H67" s="456">
        <f t="shared" si="23"/>
        <v>0</v>
      </c>
      <c r="I67" s="476">
        <f t="shared" si="16"/>
        <v>0</v>
      </c>
      <c r="J67" s="476"/>
      <c r="K67" s="488"/>
      <c r="L67" s="479">
        <f t="shared" si="17"/>
        <v>0</v>
      </c>
      <c r="M67" s="488"/>
      <c r="N67" s="479">
        <f t="shared" si="18"/>
        <v>0</v>
      </c>
      <c r="O67" s="479">
        <f t="shared" si="19"/>
        <v>0</v>
      </c>
      <c r="P67" s="243"/>
    </row>
    <row r="68" spans="2:16" ht="12.5">
      <c r="B68" s="160" t="str">
        <f t="shared" si="20"/>
        <v/>
      </c>
      <c r="C68" s="473">
        <f>IF(D11="","-",+C67+1)</f>
        <v>2062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21"/>
        <v>0</v>
      </c>
      <c r="G68" s="489">
        <f t="shared" si="22"/>
        <v>0</v>
      </c>
      <c r="H68" s="456">
        <f t="shared" si="23"/>
        <v>0</v>
      </c>
      <c r="I68" s="476">
        <f t="shared" si="16"/>
        <v>0</v>
      </c>
      <c r="J68" s="476"/>
      <c r="K68" s="488"/>
      <c r="L68" s="479">
        <f t="shared" si="17"/>
        <v>0</v>
      </c>
      <c r="M68" s="488"/>
      <c r="N68" s="479">
        <f t="shared" si="18"/>
        <v>0</v>
      </c>
      <c r="O68" s="479">
        <f t="shared" si="19"/>
        <v>0</v>
      </c>
      <c r="P68" s="243"/>
    </row>
    <row r="69" spans="2:16" ht="12.5">
      <c r="B69" s="160" t="str">
        <f t="shared" si="20"/>
        <v/>
      </c>
      <c r="C69" s="473">
        <f>IF(D11="","-",+C68+1)</f>
        <v>2063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21"/>
        <v>0</v>
      </c>
      <c r="G69" s="489">
        <f t="shared" si="22"/>
        <v>0</v>
      </c>
      <c r="H69" s="456">
        <f t="shared" si="23"/>
        <v>0</v>
      </c>
      <c r="I69" s="476">
        <f t="shared" si="16"/>
        <v>0</v>
      </c>
      <c r="J69" s="476"/>
      <c r="K69" s="488"/>
      <c r="L69" s="479">
        <f t="shared" si="17"/>
        <v>0</v>
      </c>
      <c r="M69" s="488"/>
      <c r="N69" s="479">
        <f t="shared" si="18"/>
        <v>0</v>
      </c>
      <c r="O69" s="479">
        <f t="shared" si="19"/>
        <v>0</v>
      </c>
      <c r="P69" s="243"/>
    </row>
    <row r="70" spans="2:16" ht="12.5">
      <c r="B70" s="160" t="str">
        <f t="shared" si="20"/>
        <v/>
      </c>
      <c r="C70" s="473">
        <f>IF(D11="","-",+C69+1)</f>
        <v>2064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21"/>
        <v>0</v>
      </c>
      <c r="G70" s="489">
        <f t="shared" si="22"/>
        <v>0</v>
      </c>
      <c r="H70" s="456">
        <f t="shared" si="23"/>
        <v>0</v>
      </c>
      <c r="I70" s="476">
        <f t="shared" si="16"/>
        <v>0</v>
      </c>
      <c r="J70" s="476"/>
      <c r="K70" s="488"/>
      <c r="L70" s="479">
        <f t="shared" si="17"/>
        <v>0</v>
      </c>
      <c r="M70" s="488"/>
      <c r="N70" s="479">
        <f t="shared" si="18"/>
        <v>0</v>
      </c>
      <c r="O70" s="479">
        <f t="shared" si="19"/>
        <v>0</v>
      </c>
      <c r="P70" s="243"/>
    </row>
    <row r="71" spans="2:16" ht="12.5">
      <c r="B71" s="160" t="str">
        <f t="shared" si="20"/>
        <v/>
      </c>
      <c r="C71" s="473">
        <f>IF(D11="","-",+C70+1)</f>
        <v>2065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21"/>
        <v>0</v>
      </c>
      <c r="G71" s="489">
        <f t="shared" si="22"/>
        <v>0</v>
      </c>
      <c r="H71" s="456">
        <f t="shared" si="23"/>
        <v>0</v>
      </c>
      <c r="I71" s="476">
        <f t="shared" si="16"/>
        <v>0</v>
      </c>
      <c r="J71" s="476"/>
      <c r="K71" s="488"/>
      <c r="L71" s="479">
        <f t="shared" si="17"/>
        <v>0</v>
      </c>
      <c r="M71" s="488"/>
      <c r="N71" s="479">
        <f t="shared" si="18"/>
        <v>0</v>
      </c>
      <c r="O71" s="479">
        <f t="shared" si="19"/>
        <v>0</v>
      </c>
      <c r="P71" s="243"/>
    </row>
    <row r="72" spans="2:16" ht="13" thickBot="1">
      <c r="B72" s="160" t="str">
        <f t="shared" si="20"/>
        <v/>
      </c>
      <c r="C72" s="490">
        <f>IF(D11="","-",+C71+1)</f>
        <v>2066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21"/>
        <v>0</v>
      </c>
      <c r="G72" s="493">
        <f t="shared" si="22"/>
        <v>0</v>
      </c>
      <c r="H72" s="436">
        <f t="shared" si="23"/>
        <v>0</v>
      </c>
      <c r="I72" s="494">
        <f t="shared" si="16"/>
        <v>0</v>
      </c>
      <c r="J72" s="476"/>
      <c r="K72" s="495"/>
      <c r="L72" s="496">
        <f t="shared" si="17"/>
        <v>0</v>
      </c>
      <c r="M72" s="495"/>
      <c r="N72" s="496">
        <f t="shared" si="18"/>
        <v>0</v>
      </c>
      <c r="O72" s="496">
        <f t="shared" si="19"/>
        <v>0</v>
      </c>
      <c r="P72" s="243"/>
    </row>
    <row r="73" spans="2:16" ht="12.5">
      <c r="C73" s="347" t="s">
        <v>77</v>
      </c>
      <c r="D73" s="348"/>
      <c r="E73" s="348">
        <f>SUM(E17:E72)</f>
        <v>1404099.6199999996</v>
      </c>
      <c r="F73" s="348"/>
      <c r="G73" s="348">
        <f>SUM(G17:G72)</f>
        <v>5812954.4677662449</v>
      </c>
      <c r="H73" s="348">
        <f>SUM(H17:H72)</f>
        <v>5812954.4677662449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11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165912.69365934882</v>
      </c>
      <c r="N87" s="509">
        <f>IF(J92&lt;D11,0,VLOOKUP(J92,C17:O72,11))</f>
        <v>165912.69365934882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154683.86507702887</v>
      </c>
      <c r="N88" s="513">
        <f>IF(J92&lt;D11,0,VLOOKUP(J92,C99:P154,7))</f>
        <v>154683.86507702887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Bartlesville SE to Coffeyville T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-11228.828582319955</v>
      </c>
      <c r="N89" s="518">
        <f>+N88-N87</f>
        <v>-11228.828582319955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TP2008079-PSO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D10</f>
        <v>1404099.6199999999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2011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34246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2011</v>
      </c>
      <c r="D99" s="474">
        <v>0</v>
      </c>
      <c r="E99" s="481">
        <v>13815</v>
      </c>
      <c r="F99" s="574">
        <v>1422922</v>
      </c>
      <c r="G99" s="538">
        <v>711461</v>
      </c>
      <c r="H99" s="540">
        <v>113286.80836539247</v>
      </c>
      <c r="I99" s="540">
        <v>113286.80836539247</v>
      </c>
      <c r="J99" s="479">
        <f t="shared" ref="J99:J130" si="24">+I99-H99</f>
        <v>0</v>
      </c>
      <c r="K99" s="575"/>
      <c r="L99" s="568">
        <f t="shared" ref="L99:L104" si="25">H99</f>
        <v>113286.80836539247</v>
      </c>
      <c r="M99" s="576">
        <f t="shared" ref="M99:M130" si="26">IF(L99&lt;&gt;0,+H99-L99,0)</f>
        <v>0</v>
      </c>
      <c r="N99" s="568">
        <f t="shared" ref="N99:N104" si="27">I99</f>
        <v>113286.80836539247</v>
      </c>
      <c r="O99" s="478">
        <f t="shared" ref="O99:O130" si="28">IF(N99&lt;&gt;0,+I99-N99,0)</f>
        <v>0</v>
      </c>
      <c r="P99" s="349">
        <f t="shared" ref="P99:P130" si="29">+O99-M99</f>
        <v>0</v>
      </c>
    </row>
    <row r="100" spans="1:16" ht="12.5">
      <c r="B100" s="160" t="str">
        <f t="shared" ref="B100:B131" si="30">IF(D100=F99,"","IU")</f>
        <v>IU</v>
      </c>
      <c r="C100" s="473">
        <f>IF(D93="","-",+C99+1)</f>
        <v>2012</v>
      </c>
      <c r="D100" s="474">
        <v>1479908</v>
      </c>
      <c r="E100" s="481">
        <v>28725</v>
      </c>
      <c r="F100" s="574">
        <v>1451183</v>
      </c>
      <c r="G100" s="480">
        <v>1465545.5</v>
      </c>
      <c r="H100" s="540">
        <v>239551.75399863988</v>
      </c>
      <c r="I100" s="540">
        <v>239551.75399863988</v>
      </c>
      <c r="J100" s="479">
        <v>0</v>
      </c>
      <c r="K100" s="575"/>
      <c r="L100" s="541">
        <f t="shared" si="25"/>
        <v>239551.75399863988</v>
      </c>
      <c r="M100" s="576">
        <f t="shared" ref="M100:M105" si="31">IF(L100&lt;&gt;0,+H100-L100,0)</f>
        <v>0</v>
      </c>
      <c r="N100" s="541">
        <f t="shared" si="27"/>
        <v>239551.75399863988</v>
      </c>
      <c r="O100" s="479">
        <f t="shared" ref="O100:O105" si="32">IF(N100&lt;&gt;0,+I100-N100,0)</f>
        <v>0</v>
      </c>
      <c r="P100" s="349">
        <f t="shared" ref="P100:P105" si="33">+O100-M100</f>
        <v>0</v>
      </c>
    </row>
    <row r="101" spans="1:16" ht="12.5">
      <c r="B101" s="160" t="str">
        <f t="shared" si="30"/>
        <v/>
      </c>
      <c r="C101" s="473">
        <f>IF(D93="","-",+C100+1)</f>
        <v>2013</v>
      </c>
      <c r="D101" s="474">
        <v>1451183</v>
      </c>
      <c r="E101" s="481">
        <v>28725</v>
      </c>
      <c r="F101" s="574">
        <v>1422458</v>
      </c>
      <c r="G101" s="480">
        <v>1436820.5</v>
      </c>
      <c r="H101" s="540">
        <v>235540.35933406017</v>
      </c>
      <c r="I101" s="540">
        <v>235540.35933406017</v>
      </c>
      <c r="J101" s="479">
        <v>0</v>
      </c>
      <c r="K101" s="575"/>
      <c r="L101" s="541">
        <f t="shared" si="25"/>
        <v>235540.35933406017</v>
      </c>
      <c r="M101" s="576">
        <f t="shared" si="31"/>
        <v>0</v>
      </c>
      <c r="N101" s="541">
        <f t="shared" si="27"/>
        <v>235540.35933406017</v>
      </c>
      <c r="O101" s="479">
        <f t="shared" si="32"/>
        <v>0</v>
      </c>
      <c r="P101" s="349">
        <f t="shared" si="33"/>
        <v>0</v>
      </c>
    </row>
    <row r="102" spans="1:16" ht="12.5">
      <c r="B102" s="160" t="str">
        <f t="shared" si="30"/>
        <v>IU</v>
      </c>
      <c r="C102" s="473">
        <f>IF(D93="","-",+C101+1)</f>
        <v>2014</v>
      </c>
      <c r="D102" s="474">
        <v>1332834.6199999999</v>
      </c>
      <c r="E102" s="481">
        <v>27002</v>
      </c>
      <c r="F102" s="574">
        <v>1305832.6199999999</v>
      </c>
      <c r="G102" s="480">
        <v>1319333.6199999999</v>
      </c>
      <c r="H102" s="540">
        <v>212494.91385632072</v>
      </c>
      <c r="I102" s="540">
        <v>212494.91385632072</v>
      </c>
      <c r="J102" s="479">
        <v>0</v>
      </c>
      <c r="K102" s="575"/>
      <c r="L102" s="541">
        <f t="shared" si="25"/>
        <v>212494.91385632072</v>
      </c>
      <c r="M102" s="576">
        <f t="shared" si="31"/>
        <v>0</v>
      </c>
      <c r="N102" s="541">
        <f t="shared" si="27"/>
        <v>212494.91385632072</v>
      </c>
      <c r="O102" s="479">
        <f t="shared" si="32"/>
        <v>0</v>
      </c>
      <c r="P102" s="349">
        <f t="shared" si="33"/>
        <v>0</v>
      </c>
    </row>
    <row r="103" spans="1:16" ht="12.5">
      <c r="B103" s="160" t="str">
        <f t="shared" si="30"/>
        <v/>
      </c>
      <c r="C103" s="473">
        <f>IF(D93="","-",+C102+1)</f>
        <v>2015</v>
      </c>
      <c r="D103" s="474">
        <v>1305832.6199999999</v>
      </c>
      <c r="E103" s="481">
        <v>27002</v>
      </c>
      <c r="F103" s="574">
        <v>1278830.6199999999</v>
      </c>
      <c r="G103" s="480">
        <v>1292331.6199999999</v>
      </c>
      <c r="H103" s="540">
        <v>203330.25869072074</v>
      </c>
      <c r="I103" s="540">
        <v>203330.25869072074</v>
      </c>
      <c r="J103" s="479">
        <f t="shared" si="24"/>
        <v>0</v>
      </c>
      <c r="K103" s="575"/>
      <c r="L103" s="541">
        <f t="shared" si="25"/>
        <v>203330.25869072074</v>
      </c>
      <c r="M103" s="576">
        <f t="shared" si="31"/>
        <v>0</v>
      </c>
      <c r="N103" s="541">
        <f t="shared" si="27"/>
        <v>203330.25869072074</v>
      </c>
      <c r="O103" s="479">
        <f t="shared" si="32"/>
        <v>0</v>
      </c>
      <c r="P103" s="349">
        <f t="shared" si="33"/>
        <v>0</v>
      </c>
    </row>
    <row r="104" spans="1:16" ht="12.5">
      <c r="B104" s="160" t="str">
        <f t="shared" si="30"/>
        <v/>
      </c>
      <c r="C104" s="473">
        <f>IF(D93="","-",+C103+1)</f>
        <v>2016</v>
      </c>
      <c r="D104" s="474">
        <v>1278830.6199999999</v>
      </c>
      <c r="E104" s="481">
        <v>30524</v>
      </c>
      <c r="F104" s="574">
        <v>1248306.6199999999</v>
      </c>
      <c r="G104" s="480">
        <v>1263568.6199999999</v>
      </c>
      <c r="H104" s="540">
        <v>193417.89490142919</v>
      </c>
      <c r="I104" s="540">
        <v>193417.89490142919</v>
      </c>
      <c r="J104" s="479">
        <f t="shared" si="24"/>
        <v>0</v>
      </c>
      <c r="K104" s="479"/>
      <c r="L104" s="541">
        <f t="shared" si="25"/>
        <v>193417.89490142919</v>
      </c>
      <c r="M104" s="576">
        <f t="shared" si="31"/>
        <v>0</v>
      </c>
      <c r="N104" s="541">
        <f t="shared" si="27"/>
        <v>193417.89490142919</v>
      </c>
      <c r="O104" s="479">
        <f t="shared" si="32"/>
        <v>0</v>
      </c>
      <c r="P104" s="349">
        <f t="shared" si="33"/>
        <v>0</v>
      </c>
    </row>
    <row r="105" spans="1:16" ht="12.5">
      <c r="B105" s="160" t="str">
        <f t="shared" si="30"/>
        <v/>
      </c>
      <c r="C105" s="473">
        <f>IF(D93="","-",+C104+1)</f>
        <v>2017</v>
      </c>
      <c r="D105" s="474">
        <v>1248306.6199999999</v>
      </c>
      <c r="E105" s="481">
        <v>30524</v>
      </c>
      <c r="F105" s="574">
        <v>1217782.6199999999</v>
      </c>
      <c r="G105" s="480">
        <v>1233044.6199999999</v>
      </c>
      <c r="H105" s="540">
        <v>186938.81917011391</v>
      </c>
      <c r="I105" s="540">
        <v>186938.81917011391</v>
      </c>
      <c r="J105" s="479">
        <f t="shared" si="24"/>
        <v>0</v>
      </c>
      <c r="K105" s="479"/>
      <c r="L105" s="541">
        <f>H105</f>
        <v>186938.81917011391</v>
      </c>
      <c r="M105" s="576">
        <f t="shared" si="31"/>
        <v>0</v>
      </c>
      <c r="N105" s="541">
        <f>I105</f>
        <v>186938.81917011391</v>
      </c>
      <c r="O105" s="479">
        <f t="shared" si="32"/>
        <v>0</v>
      </c>
      <c r="P105" s="349">
        <f t="shared" si="33"/>
        <v>0</v>
      </c>
    </row>
    <row r="106" spans="1:16" ht="12.5">
      <c r="B106" s="160" t="str">
        <f t="shared" si="30"/>
        <v/>
      </c>
      <c r="C106" s="473">
        <f>IF(D93="","-",+C105+1)</f>
        <v>2018</v>
      </c>
      <c r="D106" s="474">
        <v>1217782.6199999999</v>
      </c>
      <c r="E106" s="481">
        <v>32653</v>
      </c>
      <c r="F106" s="574">
        <v>1185129.6199999999</v>
      </c>
      <c r="G106" s="480">
        <v>1201456.1199999999</v>
      </c>
      <c r="H106" s="540">
        <v>156085.27550586959</v>
      </c>
      <c r="I106" s="540">
        <v>156085.27550586959</v>
      </c>
      <c r="J106" s="479">
        <f t="shared" si="24"/>
        <v>0</v>
      </c>
      <c r="K106" s="479"/>
      <c r="L106" s="541">
        <f>H106</f>
        <v>156085.27550586959</v>
      </c>
      <c r="M106" s="576">
        <f t="shared" ref="M106" si="34">IF(L106&lt;&gt;0,+H106-L106,0)</f>
        <v>0</v>
      </c>
      <c r="N106" s="541">
        <f>I106</f>
        <v>156085.27550586959</v>
      </c>
      <c r="O106" s="479">
        <f t="shared" ref="O106" si="35">IF(N106&lt;&gt;0,+I106-N106,0)</f>
        <v>0</v>
      </c>
      <c r="P106" s="349">
        <f t="shared" ref="P106" si="36">+O106-M106</f>
        <v>0</v>
      </c>
    </row>
    <row r="107" spans="1:16" ht="12.5">
      <c r="B107" s="160" t="str">
        <f t="shared" si="30"/>
        <v/>
      </c>
      <c r="C107" s="473">
        <f>IF(D93="","-",+C106+1)</f>
        <v>2019</v>
      </c>
      <c r="D107" s="347">
        <f>IF(F106+SUM(E$99:E106)=D$92,F106,D$92-SUM(E$99:E106))</f>
        <v>1185129.6199999999</v>
      </c>
      <c r="E107" s="487">
        <f>IF(+J96&lt;F106,J96,D107)</f>
        <v>34246</v>
      </c>
      <c r="F107" s="486">
        <f t="shared" ref="F107:F130" si="37">+D107-E107</f>
        <v>1150883.6199999999</v>
      </c>
      <c r="G107" s="486">
        <f t="shared" ref="G107:G130" si="38">+(F107+D107)/2</f>
        <v>1168006.6199999999</v>
      </c>
      <c r="H107" s="489">
        <f t="shared" ref="H107:H130" si="39">+J$94*G107+E107</f>
        <v>154683.86507702887</v>
      </c>
      <c r="I107" s="543">
        <f t="shared" ref="I107:I130" si="40">+J$95*G107+E107</f>
        <v>154683.86507702887</v>
      </c>
      <c r="J107" s="479">
        <f t="shared" si="24"/>
        <v>0</v>
      </c>
      <c r="K107" s="479"/>
      <c r="L107" s="488"/>
      <c r="M107" s="479">
        <f t="shared" si="26"/>
        <v>0</v>
      </c>
      <c r="N107" s="488"/>
      <c r="O107" s="479">
        <f t="shared" si="28"/>
        <v>0</v>
      </c>
      <c r="P107" s="476">
        <f t="shared" si="29"/>
        <v>0</v>
      </c>
    </row>
    <row r="108" spans="1:16" ht="12.5">
      <c r="B108" s="160" t="str">
        <f t="shared" si="30"/>
        <v/>
      </c>
      <c r="C108" s="473">
        <f>IF(D93="","-",+C107+1)</f>
        <v>2020</v>
      </c>
      <c r="D108" s="347">
        <f>IF(F107+SUM(E$99:E107)=D$92,F107,D$92-SUM(E$99:E107))</f>
        <v>1150883.6199999999</v>
      </c>
      <c r="E108" s="487">
        <f>IF(+J96&lt;F107,J96,D108)</f>
        <v>34246</v>
      </c>
      <c r="F108" s="486">
        <f t="shared" si="37"/>
        <v>1116637.6199999999</v>
      </c>
      <c r="G108" s="486">
        <f t="shared" si="38"/>
        <v>1133760.6199999999</v>
      </c>
      <c r="H108" s="489">
        <f t="shared" si="39"/>
        <v>151152.62213987159</v>
      </c>
      <c r="I108" s="543">
        <f t="shared" si="40"/>
        <v>151152.62213987159</v>
      </c>
      <c r="J108" s="479">
        <f t="shared" si="24"/>
        <v>0</v>
      </c>
      <c r="K108" s="479"/>
      <c r="L108" s="488"/>
      <c r="M108" s="479">
        <f t="shared" si="26"/>
        <v>0</v>
      </c>
      <c r="N108" s="488"/>
      <c r="O108" s="479">
        <f t="shared" si="28"/>
        <v>0</v>
      </c>
      <c r="P108" s="476">
        <f t="shared" si="29"/>
        <v>0</v>
      </c>
    </row>
    <row r="109" spans="1:16" ht="12.5">
      <c r="B109" s="160" t="str">
        <f t="shared" si="30"/>
        <v/>
      </c>
      <c r="C109" s="473">
        <f>IF(D93="","-",+C108+1)</f>
        <v>2021</v>
      </c>
      <c r="D109" s="347">
        <f>IF(F108+SUM(E$99:E108)=D$92,F108,D$92-SUM(E$99:E108))</f>
        <v>1116637.6199999999</v>
      </c>
      <c r="E109" s="487">
        <f>IF(+J96&lt;F108,J96,D109)</f>
        <v>34246</v>
      </c>
      <c r="F109" s="486">
        <f t="shared" si="37"/>
        <v>1082391.6199999999</v>
      </c>
      <c r="G109" s="486">
        <f t="shared" si="38"/>
        <v>1099514.6199999999</v>
      </c>
      <c r="H109" s="489">
        <f t="shared" si="39"/>
        <v>147621.37920271431</v>
      </c>
      <c r="I109" s="543">
        <f t="shared" si="40"/>
        <v>147621.37920271431</v>
      </c>
      <c r="J109" s="479">
        <f t="shared" si="24"/>
        <v>0</v>
      </c>
      <c r="K109" s="479"/>
      <c r="L109" s="488"/>
      <c r="M109" s="479">
        <f t="shared" si="26"/>
        <v>0</v>
      </c>
      <c r="N109" s="488"/>
      <c r="O109" s="479">
        <f t="shared" si="28"/>
        <v>0</v>
      </c>
      <c r="P109" s="479">
        <f t="shared" si="29"/>
        <v>0</v>
      </c>
    </row>
    <row r="110" spans="1:16" ht="12.5">
      <c r="B110" s="160" t="str">
        <f t="shared" si="30"/>
        <v/>
      </c>
      <c r="C110" s="473">
        <f>IF(D93="","-",+C109+1)</f>
        <v>2022</v>
      </c>
      <c r="D110" s="347">
        <f>IF(F109+SUM(E$99:E109)=D$92,F109,D$92-SUM(E$99:E109))</f>
        <v>1082391.6199999999</v>
      </c>
      <c r="E110" s="487">
        <f>IF(+J96&lt;F109,J96,D110)</f>
        <v>34246</v>
      </c>
      <c r="F110" s="486">
        <f t="shared" si="37"/>
        <v>1048145.6199999999</v>
      </c>
      <c r="G110" s="486">
        <f t="shared" si="38"/>
        <v>1065268.6199999999</v>
      </c>
      <c r="H110" s="489">
        <f t="shared" si="39"/>
        <v>144090.13626555706</v>
      </c>
      <c r="I110" s="543">
        <f t="shared" si="40"/>
        <v>144090.13626555706</v>
      </c>
      <c r="J110" s="479">
        <f t="shared" si="24"/>
        <v>0</v>
      </c>
      <c r="K110" s="479"/>
      <c r="L110" s="488"/>
      <c r="M110" s="479">
        <f t="shared" si="26"/>
        <v>0</v>
      </c>
      <c r="N110" s="488"/>
      <c r="O110" s="479">
        <f t="shared" si="28"/>
        <v>0</v>
      </c>
      <c r="P110" s="479">
        <f t="shared" si="29"/>
        <v>0</v>
      </c>
    </row>
    <row r="111" spans="1:16" ht="12.5">
      <c r="B111" s="160" t="str">
        <f t="shared" si="30"/>
        <v/>
      </c>
      <c r="C111" s="473">
        <f>IF(D93="","-",+C110+1)</f>
        <v>2023</v>
      </c>
      <c r="D111" s="347">
        <f>IF(F110+SUM(E$99:E110)=D$92,F110,D$92-SUM(E$99:E110))</f>
        <v>1048145.6199999999</v>
      </c>
      <c r="E111" s="487">
        <f>IF(+J96&lt;F110,J96,D111)</f>
        <v>34246</v>
      </c>
      <c r="F111" s="486">
        <f t="shared" si="37"/>
        <v>1013899.6199999999</v>
      </c>
      <c r="G111" s="486">
        <f t="shared" si="38"/>
        <v>1031022.6199999999</v>
      </c>
      <c r="H111" s="489">
        <f t="shared" si="39"/>
        <v>140558.8933283998</v>
      </c>
      <c r="I111" s="543">
        <f t="shared" si="40"/>
        <v>140558.8933283998</v>
      </c>
      <c r="J111" s="479">
        <f t="shared" si="24"/>
        <v>0</v>
      </c>
      <c r="K111" s="479"/>
      <c r="L111" s="488"/>
      <c r="M111" s="479">
        <f t="shared" si="26"/>
        <v>0</v>
      </c>
      <c r="N111" s="488"/>
      <c r="O111" s="479">
        <f t="shared" si="28"/>
        <v>0</v>
      </c>
      <c r="P111" s="479">
        <f t="shared" si="29"/>
        <v>0</v>
      </c>
    </row>
    <row r="112" spans="1:16" ht="12.5">
      <c r="B112" s="160" t="str">
        <f t="shared" si="30"/>
        <v/>
      </c>
      <c r="C112" s="473">
        <f>IF(D93="","-",+C111+1)</f>
        <v>2024</v>
      </c>
      <c r="D112" s="347">
        <f>IF(F111+SUM(E$99:E111)=D$92,F111,D$92-SUM(E$99:E111))</f>
        <v>1013899.6199999999</v>
      </c>
      <c r="E112" s="487">
        <f>IF(+J96&lt;F111,J96,D112)</f>
        <v>34246</v>
      </c>
      <c r="F112" s="486">
        <f t="shared" si="37"/>
        <v>979653.61999999988</v>
      </c>
      <c r="G112" s="486">
        <f t="shared" si="38"/>
        <v>996776.61999999988</v>
      </c>
      <c r="H112" s="489">
        <f t="shared" si="39"/>
        <v>137027.65039124253</v>
      </c>
      <c r="I112" s="543">
        <f t="shared" si="40"/>
        <v>137027.65039124253</v>
      </c>
      <c r="J112" s="479">
        <f t="shared" si="24"/>
        <v>0</v>
      </c>
      <c r="K112" s="479"/>
      <c r="L112" s="488"/>
      <c r="M112" s="479">
        <f t="shared" si="26"/>
        <v>0</v>
      </c>
      <c r="N112" s="488"/>
      <c r="O112" s="479">
        <f t="shared" si="28"/>
        <v>0</v>
      </c>
      <c r="P112" s="479">
        <f t="shared" si="29"/>
        <v>0</v>
      </c>
    </row>
    <row r="113" spans="2:16" ht="12.5">
      <c r="B113" s="160" t="str">
        <f t="shared" si="30"/>
        <v/>
      </c>
      <c r="C113" s="473">
        <f>IF(D93="","-",+C112+1)</f>
        <v>2025</v>
      </c>
      <c r="D113" s="347">
        <f>IF(F112+SUM(E$99:E112)=D$92,F112,D$92-SUM(E$99:E112))</f>
        <v>979653.61999999988</v>
      </c>
      <c r="E113" s="487">
        <f>IF(+J96&lt;F112,J96,D113)</f>
        <v>34246</v>
      </c>
      <c r="F113" s="486">
        <f t="shared" si="37"/>
        <v>945407.61999999988</v>
      </c>
      <c r="G113" s="486">
        <f t="shared" si="38"/>
        <v>962530.61999999988</v>
      </c>
      <c r="H113" s="489">
        <f t="shared" si="39"/>
        <v>133496.40745408525</v>
      </c>
      <c r="I113" s="543">
        <f t="shared" si="40"/>
        <v>133496.40745408525</v>
      </c>
      <c r="J113" s="479">
        <f t="shared" si="24"/>
        <v>0</v>
      </c>
      <c r="K113" s="479"/>
      <c r="L113" s="488"/>
      <c r="M113" s="479">
        <f t="shared" si="26"/>
        <v>0</v>
      </c>
      <c r="N113" s="488"/>
      <c r="O113" s="479">
        <f t="shared" si="28"/>
        <v>0</v>
      </c>
      <c r="P113" s="479">
        <f t="shared" si="29"/>
        <v>0</v>
      </c>
    </row>
    <row r="114" spans="2:16" ht="12.5">
      <c r="B114" s="160" t="str">
        <f t="shared" si="30"/>
        <v/>
      </c>
      <c r="C114" s="473">
        <f>IF(D93="","-",+C113+1)</f>
        <v>2026</v>
      </c>
      <c r="D114" s="347">
        <f>IF(F113+SUM(E$99:E113)=D$92,F113,D$92-SUM(E$99:E113))</f>
        <v>945407.61999999988</v>
      </c>
      <c r="E114" s="487">
        <f>IF(+J96&lt;F113,J96,D114)</f>
        <v>34246</v>
      </c>
      <c r="F114" s="486">
        <f t="shared" si="37"/>
        <v>911161.61999999988</v>
      </c>
      <c r="G114" s="486">
        <f t="shared" si="38"/>
        <v>928284.61999999988</v>
      </c>
      <c r="H114" s="489">
        <f t="shared" si="39"/>
        <v>129965.16451692799</v>
      </c>
      <c r="I114" s="543">
        <f t="shared" si="40"/>
        <v>129965.16451692799</v>
      </c>
      <c r="J114" s="479">
        <f t="shared" si="24"/>
        <v>0</v>
      </c>
      <c r="K114" s="479"/>
      <c r="L114" s="488"/>
      <c r="M114" s="479">
        <f t="shared" si="26"/>
        <v>0</v>
      </c>
      <c r="N114" s="488"/>
      <c r="O114" s="479">
        <f t="shared" si="28"/>
        <v>0</v>
      </c>
      <c r="P114" s="479">
        <f t="shared" si="29"/>
        <v>0</v>
      </c>
    </row>
    <row r="115" spans="2:16" ht="12.5">
      <c r="B115" s="160" t="str">
        <f t="shared" si="30"/>
        <v/>
      </c>
      <c r="C115" s="473">
        <f>IF(D93="","-",+C114+1)</f>
        <v>2027</v>
      </c>
      <c r="D115" s="347">
        <f>IF(F114+SUM(E$99:E114)=D$92,F114,D$92-SUM(E$99:E114))</f>
        <v>911161.61999999988</v>
      </c>
      <c r="E115" s="487">
        <f>IF(+J96&lt;F114,J96,D115)</f>
        <v>34246</v>
      </c>
      <c r="F115" s="486">
        <f t="shared" si="37"/>
        <v>876915.61999999988</v>
      </c>
      <c r="G115" s="486">
        <f t="shared" si="38"/>
        <v>894038.61999999988</v>
      </c>
      <c r="H115" s="489">
        <f t="shared" si="39"/>
        <v>126433.92157977073</v>
      </c>
      <c r="I115" s="543">
        <f t="shared" si="40"/>
        <v>126433.92157977073</v>
      </c>
      <c r="J115" s="479">
        <f t="shared" si="24"/>
        <v>0</v>
      </c>
      <c r="K115" s="479"/>
      <c r="L115" s="488"/>
      <c r="M115" s="479">
        <f t="shared" si="26"/>
        <v>0</v>
      </c>
      <c r="N115" s="488"/>
      <c r="O115" s="479">
        <f t="shared" si="28"/>
        <v>0</v>
      </c>
      <c r="P115" s="479">
        <f t="shared" si="29"/>
        <v>0</v>
      </c>
    </row>
    <row r="116" spans="2:16" ht="12.5">
      <c r="B116" s="160" t="str">
        <f t="shared" si="30"/>
        <v/>
      </c>
      <c r="C116" s="473">
        <f>IF(D93="","-",+C115+1)</f>
        <v>2028</v>
      </c>
      <c r="D116" s="347">
        <f>IF(F115+SUM(E$99:E115)=D$92,F115,D$92-SUM(E$99:E115))</f>
        <v>876915.61999999988</v>
      </c>
      <c r="E116" s="487">
        <f>IF(+J96&lt;F115,J96,D116)</f>
        <v>34246</v>
      </c>
      <c r="F116" s="486">
        <f t="shared" si="37"/>
        <v>842669.61999999988</v>
      </c>
      <c r="G116" s="486">
        <f t="shared" si="38"/>
        <v>859792.61999999988</v>
      </c>
      <c r="H116" s="489">
        <f t="shared" si="39"/>
        <v>122902.67864261346</v>
      </c>
      <c r="I116" s="543">
        <f t="shared" si="40"/>
        <v>122902.67864261346</v>
      </c>
      <c r="J116" s="479">
        <f t="shared" si="24"/>
        <v>0</v>
      </c>
      <c r="K116" s="479"/>
      <c r="L116" s="488"/>
      <c r="M116" s="479">
        <f t="shared" si="26"/>
        <v>0</v>
      </c>
      <c r="N116" s="488"/>
      <c r="O116" s="479">
        <f t="shared" si="28"/>
        <v>0</v>
      </c>
      <c r="P116" s="479">
        <f t="shared" si="29"/>
        <v>0</v>
      </c>
    </row>
    <row r="117" spans="2:16" ht="12.5">
      <c r="B117" s="160" t="str">
        <f t="shared" si="30"/>
        <v/>
      </c>
      <c r="C117" s="473">
        <f>IF(D93="","-",+C116+1)</f>
        <v>2029</v>
      </c>
      <c r="D117" s="347">
        <f>IF(F116+SUM(E$99:E116)=D$92,F116,D$92-SUM(E$99:E116))</f>
        <v>842669.61999999988</v>
      </c>
      <c r="E117" s="487">
        <f>IF(+J96&lt;F116,J96,D117)</f>
        <v>34246</v>
      </c>
      <c r="F117" s="486">
        <f t="shared" si="37"/>
        <v>808423.61999999988</v>
      </c>
      <c r="G117" s="486">
        <f t="shared" si="38"/>
        <v>825546.61999999988</v>
      </c>
      <c r="H117" s="489">
        <f t="shared" si="39"/>
        <v>119371.4357054562</v>
      </c>
      <c r="I117" s="543">
        <f t="shared" si="40"/>
        <v>119371.4357054562</v>
      </c>
      <c r="J117" s="479">
        <f t="shared" si="24"/>
        <v>0</v>
      </c>
      <c r="K117" s="479"/>
      <c r="L117" s="488"/>
      <c r="M117" s="479">
        <f t="shared" si="26"/>
        <v>0</v>
      </c>
      <c r="N117" s="488"/>
      <c r="O117" s="479">
        <f t="shared" si="28"/>
        <v>0</v>
      </c>
      <c r="P117" s="479">
        <f t="shared" si="29"/>
        <v>0</v>
      </c>
    </row>
    <row r="118" spans="2:16" ht="12.5">
      <c r="B118" s="160" t="str">
        <f t="shared" si="30"/>
        <v/>
      </c>
      <c r="C118" s="473">
        <f>IF(D93="","-",+C117+1)</f>
        <v>2030</v>
      </c>
      <c r="D118" s="347">
        <f>IF(F117+SUM(E$99:E117)=D$92,F117,D$92-SUM(E$99:E117))</f>
        <v>808423.61999999988</v>
      </c>
      <c r="E118" s="487">
        <f>IF(+J96&lt;F117,J96,D118)</f>
        <v>34246</v>
      </c>
      <c r="F118" s="486">
        <f t="shared" si="37"/>
        <v>774177.61999999988</v>
      </c>
      <c r="G118" s="486">
        <f t="shared" si="38"/>
        <v>791300.61999999988</v>
      </c>
      <c r="H118" s="489">
        <f t="shared" si="39"/>
        <v>115840.19276829893</v>
      </c>
      <c r="I118" s="543">
        <f t="shared" si="40"/>
        <v>115840.19276829893</v>
      </c>
      <c r="J118" s="479">
        <f t="shared" si="24"/>
        <v>0</v>
      </c>
      <c r="K118" s="479"/>
      <c r="L118" s="488"/>
      <c r="M118" s="479">
        <f t="shared" si="26"/>
        <v>0</v>
      </c>
      <c r="N118" s="488"/>
      <c r="O118" s="479">
        <f t="shared" si="28"/>
        <v>0</v>
      </c>
      <c r="P118" s="479">
        <f t="shared" si="29"/>
        <v>0</v>
      </c>
    </row>
    <row r="119" spans="2:16" ht="12.5">
      <c r="B119" s="160" t="str">
        <f t="shared" si="30"/>
        <v/>
      </c>
      <c r="C119" s="473">
        <f>IF(D93="","-",+C118+1)</f>
        <v>2031</v>
      </c>
      <c r="D119" s="347">
        <f>IF(F118+SUM(E$99:E118)=D$92,F118,D$92-SUM(E$99:E118))</f>
        <v>774177.61999999988</v>
      </c>
      <c r="E119" s="487">
        <f>IF(+J96&lt;F118,J96,D119)</f>
        <v>34246</v>
      </c>
      <c r="F119" s="486">
        <f t="shared" si="37"/>
        <v>739931.61999999988</v>
      </c>
      <c r="G119" s="486">
        <f t="shared" si="38"/>
        <v>757054.61999999988</v>
      </c>
      <c r="H119" s="489">
        <f t="shared" si="39"/>
        <v>112308.94983114167</v>
      </c>
      <c r="I119" s="543">
        <f t="shared" si="40"/>
        <v>112308.94983114167</v>
      </c>
      <c r="J119" s="479">
        <f t="shared" si="24"/>
        <v>0</v>
      </c>
      <c r="K119" s="479"/>
      <c r="L119" s="488"/>
      <c r="M119" s="479">
        <f t="shared" si="26"/>
        <v>0</v>
      </c>
      <c r="N119" s="488"/>
      <c r="O119" s="479">
        <f t="shared" si="28"/>
        <v>0</v>
      </c>
      <c r="P119" s="479">
        <f t="shared" si="29"/>
        <v>0</v>
      </c>
    </row>
    <row r="120" spans="2:16" ht="12.5">
      <c r="B120" s="160" t="str">
        <f t="shared" si="30"/>
        <v/>
      </c>
      <c r="C120" s="473">
        <f>IF(D93="","-",+C119+1)</f>
        <v>2032</v>
      </c>
      <c r="D120" s="347">
        <f>IF(F119+SUM(E$99:E119)=D$92,F119,D$92-SUM(E$99:E119))</f>
        <v>739931.61999999988</v>
      </c>
      <c r="E120" s="487">
        <f>IF(+J96&lt;F119,J96,D120)</f>
        <v>34246</v>
      </c>
      <c r="F120" s="486">
        <f t="shared" si="37"/>
        <v>705685.61999999988</v>
      </c>
      <c r="G120" s="486">
        <f t="shared" si="38"/>
        <v>722808.61999999988</v>
      </c>
      <c r="H120" s="489">
        <f t="shared" si="39"/>
        <v>108777.7068939844</v>
      </c>
      <c r="I120" s="543">
        <f t="shared" si="40"/>
        <v>108777.7068939844</v>
      </c>
      <c r="J120" s="479">
        <f t="shared" si="24"/>
        <v>0</v>
      </c>
      <c r="K120" s="479"/>
      <c r="L120" s="488"/>
      <c r="M120" s="479">
        <f t="shared" si="26"/>
        <v>0</v>
      </c>
      <c r="N120" s="488"/>
      <c r="O120" s="479">
        <f t="shared" si="28"/>
        <v>0</v>
      </c>
      <c r="P120" s="479">
        <f t="shared" si="29"/>
        <v>0</v>
      </c>
    </row>
    <row r="121" spans="2:16" ht="12.5">
      <c r="B121" s="160" t="str">
        <f t="shared" si="30"/>
        <v/>
      </c>
      <c r="C121" s="473">
        <f>IF(D93="","-",+C120+1)</f>
        <v>2033</v>
      </c>
      <c r="D121" s="347">
        <f>IF(F120+SUM(E$99:E120)=D$92,F120,D$92-SUM(E$99:E120))</f>
        <v>705685.61999999988</v>
      </c>
      <c r="E121" s="487">
        <f>IF(+J96&lt;F120,J96,D121)</f>
        <v>34246</v>
      </c>
      <c r="F121" s="486">
        <f t="shared" si="37"/>
        <v>671439.61999999988</v>
      </c>
      <c r="G121" s="486">
        <f t="shared" si="38"/>
        <v>688562.61999999988</v>
      </c>
      <c r="H121" s="489">
        <f t="shared" si="39"/>
        <v>105246.46395682714</v>
      </c>
      <c r="I121" s="543">
        <f t="shared" si="40"/>
        <v>105246.46395682714</v>
      </c>
      <c r="J121" s="479">
        <f t="shared" si="24"/>
        <v>0</v>
      </c>
      <c r="K121" s="479"/>
      <c r="L121" s="488"/>
      <c r="M121" s="479">
        <f t="shared" si="26"/>
        <v>0</v>
      </c>
      <c r="N121" s="488"/>
      <c r="O121" s="479">
        <f t="shared" si="28"/>
        <v>0</v>
      </c>
      <c r="P121" s="479">
        <f t="shared" si="29"/>
        <v>0</v>
      </c>
    </row>
    <row r="122" spans="2:16" ht="12.5">
      <c r="B122" s="160" t="str">
        <f t="shared" si="30"/>
        <v/>
      </c>
      <c r="C122" s="473">
        <f>IF(D93="","-",+C121+1)</f>
        <v>2034</v>
      </c>
      <c r="D122" s="347">
        <f>IF(F121+SUM(E$99:E121)=D$92,F121,D$92-SUM(E$99:E121))</f>
        <v>671439.61999999988</v>
      </c>
      <c r="E122" s="487">
        <f>IF(+J96&lt;F121,J96,D122)</f>
        <v>34246</v>
      </c>
      <c r="F122" s="486">
        <f t="shared" si="37"/>
        <v>637193.61999999988</v>
      </c>
      <c r="G122" s="486">
        <f t="shared" si="38"/>
        <v>654316.61999999988</v>
      </c>
      <c r="H122" s="489">
        <f t="shared" si="39"/>
        <v>101715.22101966987</v>
      </c>
      <c r="I122" s="543">
        <f t="shared" si="40"/>
        <v>101715.22101966987</v>
      </c>
      <c r="J122" s="479">
        <f t="shared" si="24"/>
        <v>0</v>
      </c>
      <c r="K122" s="479"/>
      <c r="L122" s="488"/>
      <c r="M122" s="479">
        <f t="shared" si="26"/>
        <v>0</v>
      </c>
      <c r="N122" s="488"/>
      <c r="O122" s="479">
        <f t="shared" si="28"/>
        <v>0</v>
      </c>
      <c r="P122" s="479">
        <f t="shared" si="29"/>
        <v>0</v>
      </c>
    </row>
    <row r="123" spans="2:16" ht="12.5">
      <c r="B123" s="160" t="str">
        <f t="shared" si="30"/>
        <v/>
      </c>
      <c r="C123" s="473">
        <f>IF(D93="","-",+C122+1)</f>
        <v>2035</v>
      </c>
      <c r="D123" s="347">
        <f>IF(F122+SUM(E$99:E122)=D$92,F122,D$92-SUM(E$99:E122))</f>
        <v>637193.61999999988</v>
      </c>
      <c r="E123" s="487">
        <f>IF(+J96&lt;F122,J96,D123)</f>
        <v>34246</v>
      </c>
      <c r="F123" s="486">
        <f t="shared" si="37"/>
        <v>602947.61999999988</v>
      </c>
      <c r="G123" s="486">
        <f t="shared" si="38"/>
        <v>620070.61999999988</v>
      </c>
      <c r="H123" s="489">
        <f t="shared" si="39"/>
        <v>98183.978082512593</v>
      </c>
      <c r="I123" s="543">
        <f t="shared" si="40"/>
        <v>98183.978082512593</v>
      </c>
      <c r="J123" s="479">
        <f t="shared" si="24"/>
        <v>0</v>
      </c>
      <c r="K123" s="479"/>
      <c r="L123" s="488"/>
      <c r="M123" s="479">
        <f t="shared" si="26"/>
        <v>0</v>
      </c>
      <c r="N123" s="488"/>
      <c r="O123" s="479">
        <f t="shared" si="28"/>
        <v>0</v>
      </c>
      <c r="P123" s="479">
        <f t="shared" si="29"/>
        <v>0</v>
      </c>
    </row>
    <row r="124" spans="2:16" ht="12.5">
      <c r="B124" s="160" t="str">
        <f t="shared" si="30"/>
        <v/>
      </c>
      <c r="C124" s="473">
        <f>IF(D93="","-",+C123+1)</f>
        <v>2036</v>
      </c>
      <c r="D124" s="347">
        <f>IF(F123+SUM(E$99:E123)=D$92,F123,D$92-SUM(E$99:E123))</f>
        <v>602947.61999999988</v>
      </c>
      <c r="E124" s="487">
        <f>IF(+J96&lt;F123,J96,D124)</f>
        <v>34246</v>
      </c>
      <c r="F124" s="486">
        <f t="shared" si="37"/>
        <v>568701.61999999988</v>
      </c>
      <c r="G124" s="486">
        <f t="shared" si="38"/>
        <v>585824.61999999988</v>
      </c>
      <c r="H124" s="489">
        <f t="shared" si="39"/>
        <v>94652.735145355342</v>
      </c>
      <c r="I124" s="543">
        <f t="shared" si="40"/>
        <v>94652.735145355342</v>
      </c>
      <c r="J124" s="479">
        <f t="shared" si="24"/>
        <v>0</v>
      </c>
      <c r="K124" s="479"/>
      <c r="L124" s="488"/>
      <c r="M124" s="479">
        <f t="shared" si="26"/>
        <v>0</v>
      </c>
      <c r="N124" s="488"/>
      <c r="O124" s="479">
        <f t="shared" si="28"/>
        <v>0</v>
      </c>
      <c r="P124" s="479">
        <f t="shared" si="29"/>
        <v>0</v>
      </c>
    </row>
    <row r="125" spans="2:16" ht="12.5">
      <c r="B125" s="160" t="str">
        <f t="shared" si="30"/>
        <v/>
      </c>
      <c r="C125" s="473">
        <f>IF(D93="","-",+C124+1)</f>
        <v>2037</v>
      </c>
      <c r="D125" s="347">
        <f>IF(F124+SUM(E$99:E124)=D$92,F124,D$92-SUM(E$99:E124))</f>
        <v>568701.61999999988</v>
      </c>
      <c r="E125" s="487">
        <f>IF(+J96&lt;F124,J96,D125)</f>
        <v>34246</v>
      </c>
      <c r="F125" s="486">
        <f t="shared" si="37"/>
        <v>534455.61999999988</v>
      </c>
      <c r="G125" s="486">
        <f t="shared" si="38"/>
        <v>551578.61999999988</v>
      </c>
      <c r="H125" s="489">
        <f t="shared" si="39"/>
        <v>91121.492208198062</v>
      </c>
      <c r="I125" s="543">
        <f t="shared" si="40"/>
        <v>91121.492208198062</v>
      </c>
      <c r="J125" s="479">
        <f t="shared" si="24"/>
        <v>0</v>
      </c>
      <c r="K125" s="479"/>
      <c r="L125" s="488"/>
      <c r="M125" s="479">
        <f t="shared" si="26"/>
        <v>0</v>
      </c>
      <c r="N125" s="488"/>
      <c r="O125" s="479">
        <f t="shared" si="28"/>
        <v>0</v>
      </c>
      <c r="P125" s="479">
        <f t="shared" si="29"/>
        <v>0</v>
      </c>
    </row>
    <row r="126" spans="2:16" ht="12.5">
      <c r="B126" s="160" t="str">
        <f t="shared" si="30"/>
        <v/>
      </c>
      <c r="C126" s="473">
        <f>IF(D93="","-",+C125+1)</f>
        <v>2038</v>
      </c>
      <c r="D126" s="347">
        <f>IF(F125+SUM(E$99:E125)=D$92,F125,D$92-SUM(E$99:E125))</f>
        <v>534455.61999999988</v>
      </c>
      <c r="E126" s="487">
        <f>IF(+J96&lt;F125,J96,D126)</f>
        <v>34246</v>
      </c>
      <c r="F126" s="486">
        <f t="shared" si="37"/>
        <v>500209.61999999988</v>
      </c>
      <c r="G126" s="486">
        <f t="shared" si="38"/>
        <v>517332.61999999988</v>
      </c>
      <c r="H126" s="489">
        <f t="shared" si="39"/>
        <v>87590.249271040811</v>
      </c>
      <c r="I126" s="543">
        <f t="shared" si="40"/>
        <v>87590.249271040811</v>
      </c>
      <c r="J126" s="479">
        <f t="shared" si="24"/>
        <v>0</v>
      </c>
      <c r="K126" s="479"/>
      <c r="L126" s="488"/>
      <c r="M126" s="479">
        <f t="shared" si="26"/>
        <v>0</v>
      </c>
      <c r="N126" s="488"/>
      <c r="O126" s="479">
        <f t="shared" si="28"/>
        <v>0</v>
      </c>
      <c r="P126" s="479">
        <f t="shared" si="29"/>
        <v>0</v>
      </c>
    </row>
    <row r="127" spans="2:16" ht="12.5">
      <c r="B127" s="160" t="str">
        <f t="shared" si="30"/>
        <v/>
      </c>
      <c r="C127" s="473">
        <f>IF(D93="","-",+C126+1)</f>
        <v>2039</v>
      </c>
      <c r="D127" s="347">
        <f>IF(F126+SUM(E$99:E126)=D$92,F126,D$92-SUM(E$99:E126))</f>
        <v>500209.61999999988</v>
      </c>
      <c r="E127" s="487">
        <f>IF(+J96&lt;F126,J96,D127)</f>
        <v>34246</v>
      </c>
      <c r="F127" s="486">
        <f t="shared" si="37"/>
        <v>465963.61999999988</v>
      </c>
      <c r="G127" s="486">
        <f t="shared" si="38"/>
        <v>483086.61999999988</v>
      </c>
      <c r="H127" s="489">
        <f t="shared" si="39"/>
        <v>84059.006333883532</v>
      </c>
      <c r="I127" s="543">
        <f t="shared" si="40"/>
        <v>84059.006333883532</v>
      </c>
      <c r="J127" s="479">
        <f t="shared" si="24"/>
        <v>0</v>
      </c>
      <c r="K127" s="479"/>
      <c r="L127" s="488"/>
      <c r="M127" s="479">
        <f t="shared" si="26"/>
        <v>0</v>
      </c>
      <c r="N127" s="488"/>
      <c r="O127" s="479">
        <f t="shared" si="28"/>
        <v>0</v>
      </c>
      <c r="P127" s="479">
        <f t="shared" si="29"/>
        <v>0</v>
      </c>
    </row>
    <row r="128" spans="2:16" ht="12.5">
      <c r="B128" s="160" t="str">
        <f t="shared" si="30"/>
        <v/>
      </c>
      <c r="C128" s="473">
        <f>IF(D93="","-",+C127+1)</f>
        <v>2040</v>
      </c>
      <c r="D128" s="347">
        <f>IF(F127+SUM(E$99:E127)=D$92,F127,D$92-SUM(E$99:E127))</f>
        <v>465963.61999999988</v>
      </c>
      <c r="E128" s="487">
        <f>IF(+J96&lt;F127,J96,D128)</f>
        <v>34246</v>
      </c>
      <c r="F128" s="486">
        <f t="shared" si="37"/>
        <v>431717.61999999988</v>
      </c>
      <c r="G128" s="486">
        <f t="shared" si="38"/>
        <v>448840.61999999988</v>
      </c>
      <c r="H128" s="489">
        <f t="shared" si="39"/>
        <v>80527.763396726281</v>
      </c>
      <c r="I128" s="543">
        <f t="shared" si="40"/>
        <v>80527.763396726281</v>
      </c>
      <c r="J128" s="479">
        <f t="shared" si="24"/>
        <v>0</v>
      </c>
      <c r="K128" s="479"/>
      <c r="L128" s="488"/>
      <c r="M128" s="479">
        <f t="shared" si="26"/>
        <v>0</v>
      </c>
      <c r="N128" s="488"/>
      <c r="O128" s="479">
        <f t="shared" si="28"/>
        <v>0</v>
      </c>
      <c r="P128" s="479">
        <f t="shared" si="29"/>
        <v>0</v>
      </c>
    </row>
    <row r="129" spans="2:16" ht="12.5">
      <c r="B129" s="160" t="str">
        <f t="shared" si="30"/>
        <v/>
      </c>
      <c r="C129" s="473">
        <f>IF(D93="","-",+C128+1)</f>
        <v>2041</v>
      </c>
      <c r="D129" s="347">
        <f>IF(F128+SUM(E$99:E128)=D$92,F128,D$92-SUM(E$99:E128))</f>
        <v>431717.61999999988</v>
      </c>
      <c r="E129" s="487">
        <f t="shared" ref="E129:E154" si="41">IF(+J$96&lt;F128,J$96,D129)</f>
        <v>34246</v>
      </c>
      <c r="F129" s="486">
        <f t="shared" si="37"/>
        <v>397471.61999999988</v>
      </c>
      <c r="G129" s="486">
        <f t="shared" si="38"/>
        <v>414594.61999999988</v>
      </c>
      <c r="H129" s="489">
        <f t="shared" si="39"/>
        <v>76996.520459569001</v>
      </c>
      <c r="I129" s="543">
        <f t="shared" si="40"/>
        <v>76996.520459569001</v>
      </c>
      <c r="J129" s="479">
        <f t="shared" si="24"/>
        <v>0</v>
      </c>
      <c r="K129" s="479"/>
      <c r="L129" s="488"/>
      <c r="M129" s="479">
        <f t="shared" si="26"/>
        <v>0</v>
      </c>
      <c r="N129" s="488"/>
      <c r="O129" s="479">
        <f t="shared" si="28"/>
        <v>0</v>
      </c>
      <c r="P129" s="479">
        <f t="shared" si="29"/>
        <v>0</v>
      </c>
    </row>
    <row r="130" spans="2:16" ht="12.5">
      <c r="B130" s="160" t="str">
        <f t="shared" si="30"/>
        <v/>
      </c>
      <c r="C130" s="473">
        <f>IF(D93="","-",+C129+1)</f>
        <v>2042</v>
      </c>
      <c r="D130" s="347">
        <f>IF(F129+SUM(E$99:E129)=D$92,F129,D$92-SUM(E$99:E129))</f>
        <v>397471.61999999988</v>
      </c>
      <c r="E130" s="487">
        <f t="shared" si="41"/>
        <v>34246</v>
      </c>
      <c r="F130" s="486">
        <f t="shared" si="37"/>
        <v>363225.61999999988</v>
      </c>
      <c r="G130" s="486">
        <f t="shared" si="38"/>
        <v>380348.61999999988</v>
      </c>
      <c r="H130" s="489">
        <f t="shared" si="39"/>
        <v>73465.277522411736</v>
      </c>
      <c r="I130" s="543">
        <f t="shared" si="40"/>
        <v>73465.277522411736</v>
      </c>
      <c r="J130" s="479">
        <f t="shared" si="24"/>
        <v>0</v>
      </c>
      <c r="K130" s="479"/>
      <c r="L130" s="488"/>
      <c r="M130" s="479">
        <f t="shared" si="26"/>
        <v>0</v>
      </c>
      <c r="N130" s="488"/>
      <c r="O130" s="479">
        <f t="shared" si="28"/>
        <v>0</v>
      </c>
      <c r="P130" s="479">
        <f t="shared" si="29"/>
        <v>0</v>
      </c>
    </row>
    <row r="131" spans="2:16" ht="12.5">
      <c r="B131" s="160" t="str">
        <f t="shared" si="30"/>
        <v/>
      </c>
      <c r="C131" s="473">
        <f>IF(D93="","-",+C130+1)</f>
        <v>2043</v>
      </c>
      <c r="D131" s="347">
        <f>IF(F130+SUM(E$99:E130)=D$92,F130,D$92-SUM(E$99:E130))</f>
        <v>363225.61999999988</v>
      </c>
      <c r="E131" s="487">
        <f t="shared" si="41"/>
        <v>34246</v>
      </c>
      <c r="F131" s="486">
        <f t="shared" ref="F131:F154" si="42">+D131-E131</f>
        <v>328979.61999999988</v>
      </c>
      <c r="G131" s="486">
        <f t="shared" ref="G131:G154" si="43">+(F131+D131)/2</f>
        <v>346102.61999999988</v>
      </c>
      <c r="H131" s="489">
        <f t="shared" ref="H131:H154" si="44">+J$94*G131+E131</f>
        <v>69934.034585254471</v>
      </c>
      <c r="I131" s="543">
        <f t="shared" ref="I131:I154" si="45">+J$95*G131+E131</f>
        <v>69934.034585254471</v>
      </c>
      <c r="J131" s="479">
        <f t="shared" ref="J131:J154" si="46">+I541-H541</f>
        <v>0</v>
      </c>
      <c r="K131" s="479"/>
      <c r="L131" s="488"/>
      <c r="M131" s="479">
        <f t="shared" ref="M131:M154" si="47">IF(L541&lt;&gt;0,+H541-L541,0)</f>
        <v>0</v>
      </c>
      <c r="N131" s="488"/>
      <c r="O131" s="479">
        <f t="shared" ref="O131:O154" si="48">IF(N541&lt;&gt;0,+I541-N541,0)</f>
        <v>0</v>
      </c>
      <c r="P131" s="479">
        <f t="shared" ref="P131:P154" si="49">+O541-M541</f>
        <v>0</v>
      </c>
    </row>
    <row r="132" spans="2:16" ht="12.5">
      <c r="B132" s="160" t="str">
        <f t="shared" ref="B132:B154" si="50">IF(D132=F131,"","IU")</f>
        <v/>
      </c>
      <c r="C132" s="473">
        <f>IF(D93="","-",+C131+1)</f>
        <v>2044</v>
      </c>
      <c r="D132" s="347">
        <f>IF(F131+SUM(E$99:E131)=D$92,F131,D$92-SUM(E$99:E131))</f>
        <v>328979.61999999988</v>
      </c>
      <c r="E132" s="487">
        <f t="shared" si="41"/>
        <v>34246</v>
      </c>
      <c r="F132" s="486">
        <f t="shared" si="42"/>
        <v>294733.61999999988</v>
      </c>
      <c r="G132" s="486">
        <f t="shared" si="43"/>
        <v>311856.61999999988</v>
      </c>
      <c r="H132" s="489">
        <f t="shared" si="44"/>
        <v>66402.791648097205</v>
      </c>
      <c r="I132" s="543">
        <f t="shared" si="45"/>
        <v>66402.791648097205</v>
      </c>
      <c r="J132" s="479">
        <f t="shared" si="46"/>
        <v>0</v>
      </c>
      <c r="K132" s="479"/>
      <c r="L132" s="488"/>
      <c r="M132" s="479">
        <f t="shared" si="47"/>
        <v>0</v>
      </c>
      <c r="N132" s="488"/>
      <c r="O132" s="479">
        <f t="shared" si="48"/>
        <v>0</v>
      </c>
      <c r="P132" s="479">
        <f t="shared" si="49"/>
        <v>0</v>
      </c>
    </row>
    <row r="133" spans="2:16" ht="12.5">
      <c r="B133" s="160" t="str">
        <f t="shared" si="50"/>
        <v/>
      </c>
      <c r="C133" s="473">
        <f>IF(D93="","-",+C132+1)</f>
        <v>2045</v>
      </c>
      <c r="D133" s="347">
        <f>IF(F132+SUM(E$99:E132)=D$92,F132,D$92-SUM(E$99:E132))</f>
        <v>294733.61999999988</v>
      </c>
      <c r="E133" s="487">
        <f t="shared" si="41"/>
        <v>34246</v>
      </c>
      <c r="F133" s="486">
        <f t="shared" si="42"/>
        <v>260487.61999999988</v>
      </c>
      <c r="G133" s="486">
        <f t="shared" si="43"/>
        <v>277610.61999999988</v>
      </c>
      <c r="H133" s="489">
        <f t="shared" si="44"/>
        <v>62871.54871093994</v>
      </c>
      <c r="I133" s="543">
        <f t="shared" si="45"/>
        <v>62871.54871093994</v>
      </c>
      <c r="J133" s="479">
        <f t="shared" si="46"/>
        <v>0</v>
      </c>
      <c r="K133" s="479"/>
      <c r="L133" s="488"/>
      <c r="M133" s="479">
        <f t="shared" si="47"/>
        <v>0</v>
      </c>
      <c r="N133" s="488"/>
      <c r="O133" s="479">
        <f t="shared" si="48"/>
        <v>0</v>
      </c>
      <c r="P133" s="479">
        <f t="shared" si="49"/>
        <v>0</v>
      </c>
    </row>
    <row r="134" spans="2:16" ht="12.5">
      <c r="B134" s="160" t="str">
        <f t="shared" si="50"/>
        <v/>
      </c>
      <c r="C134" s="473">
        <f>IF(D93="","-",+C133+1)</f>
        <v>2046</v>
      </c>
      <c r="D134" s="347">
        <f>IF(F133+SUM(E$99:E133)=D$92,F133,D$92-SUM(E$99:E133))</f>
        <v>260487.61999999988</v>
      </c>
      <c r="E134" s="487">
        <f t="shared" si="41"/>
        <v>34246</v>
      </c>
      <c r="F134" s="486">
        <f t="shared" si="42"/>
        <v>226241.61999999988</v>
      </c>
      <c r="G134" s="486">
        <f t="shared" si="43"/>
        <v>243364.61999999988</v>
      </c>
      <c r="H134" s="489">
        <f t="shared" si="44"/>
        <v>59340.305773782675</v>
      </c>
      <c r="I134" s="543">
        <f t="shared" si="45"/>
        <v>59340.305773782675</v>
      </c>
      <c r="J134" s="479">
        <f t="shared" si="46"/>
        <v>0</v>
      </c>
      <c r="K134" s="479"/>
      <c r="L134" s="488"/>
      <c r="M134" s="479">
        <f t="shared" si="47"/>
        <v>0</v>
      </c>
      <c r="N134" s="488"/>
      <c r="O134" s="479">
        <f t="shared" si="48"/>
        <v>0</v>
      </c>
      <c r="P134" s="479">
        <f t="shared" si="49"/>
        <v>0</v>
      </c>
    </row>
    <row r="135" spans="2:16" ht="12.5">
      <c r="B135" s="160" t="str">
        <f t="shared" si="50"/>
        <v/>
      </c>
      <c r="C135" s="473">
        <f>IF(D93="","-",+C134+1)</f>
        <v>2047</v>
      </c>
      <c r="D135" s="347">
        <f>IF(F134+SUM(E$99:E134)=D$92,F134,D$92-SUM(E$99:E134))</f>
        <v>226241.61999999988</v>
      </c>
      <c r="E135" s="487">
        <f t="shared" si="41"/>
        <v>34246</v>
      </c>
      <c r="F135" s="486">
        <f t="shared" si="42"/>
        <v>191995.61999999988</v>
      </c>
      <c r="G135" s="486">
        <f t="shared" si="43"/>
        <v>209118.61999999988</v>
      </c>
      <c r="H135" s="489">
        <f t="shared" si="44"/>
        <v>55809.06283662541</v>
      </c>
      <c r="I135" s="543">
        <f t="shared" si="45"/>
        <v>55809.06283662541</v>
      </c>
      <c r="J135" s="479">
        <f t="shared" si="46"/>
        <v>0</v>
      </c>
      <c r="K135" s="479"/>
      <c r="L135" s="488"/>
      <c r="M135" s="479">
        <f t="shared" si="47"/>
        <v>0</v>
      </c>
      <c r="N135" s="488"/>
      <c r="O135" s="479">
        <f t="shared" si="48"/>
        <v>0</v>
      </c>
      <c r="P135" s="479">
        <f t="shared" si="49"/>
        <v>0</v>
      </c>
    </row>
    <row r="136" spans="2:16" ht="12.5">
      <c r="B136" s="160" t="str">
        <f t="shared" si="50"/>
        <v/>
      </c>
      <c r="C136" s="473">
        <f>IF(D93="","-",+C135+1)</f>
        <v>2048</v>
      </c>
      <c r="D136" s="347">
        <f>IF(F135+SUM(E$99:E135)=D$92,F135,D$92-SUM(E$99:E135))</f>
        <v>191995.61999999988</v>
      </c>
      <c r="E136" s="487">
        <f t="shared" si="41"/>
        <v>34246</v>
      </c>
      <c r="F136" s="486">
        <f t="shared" si="42"/>
        <v>157749.61999999988</v>
      </c>
      <c r="G136" s="486">
        <f t="shared" si="43"/>
        <v>174872.61999999988</v>
      </c>
      <c r="H136" s="489">
        <f t="shared" si="44"/>
        <v>52277.819899468144</v>
      </c>
      <c r="I136" s="543">
        <f t="shared" si="45"/>
        <v>52277.819899468144</v>
      </c>
      <c r="J136" s="479">
        <f t="shared" si="46"/>
        <v>0</v>
      </c>
      <c r="K136" s="479"/>
      <c r="L136" s="488"/>
      <c r="M136" s="479">
        <f t="shared" si="47"/>
        <v>0</v>
      </c>
      <c r="N136" s="488"/>
      <c r="O136" s="479">
        <f t="shared" si="48"/>
        <v>0</v>
      </c>
      <c r="P136" s="479">
        <f t="shared" si="49"/>
        <v>0</v>
      </c>
    </row>
    <row r="137" spans="2:16" ht="12.5">
      <c r="B137" s="160" t="str">
        <f t="shared" si="50"/>
        <v/>
      </c>
      <c r="C137" s="473">
        <f>IF(D93="","-",+C136+1)</f>
        <v>2049</v>
      </c>
      <c r="D137" s="347">
        <f>IF(F136+SUM(E$99:E136)=D$92,F136,D$92-SUM(E$99:E136))</f>
        <v>157749.61999999988</v>
      </c>
      <c r="E137" s="487">
        <f t="shared" si="41"/>
        <v>34246</v>
      </c>
      <c r="F137" s="486">
        <f t="shared" si="42"/>
        <v>123503.61999999988</v>
      </c>
      <c r="G137" s="486">
        <f t="shared" si="43"/>
        <v>140626.61999999988</v>
      </c>
      <c r="H137" s="489">
        <f t="shared" si="44"/>
        <v>48746.576962310879</v>
      </c>
      <c r="I137" s="543">
        <f t="shared" si="45"/>
        <v>48746.576962310879</v>
      </c>
      <c r="J137" s="479">
        <f t="shared" si="46"/>
        <v>0</v>
      </c>
      <c r="K137" s="479"/>
      <c r="L137" s="488"/>
      <c r="M137" s="479">
        <f t="shared" si="47"/>
        <v>0</v>
      </c>
      <c r="N137" s="488"/>
      <c r="O137" s="479">
        <f t="shared" si="48"/>
        <v>0</v>
      </c>
      <c r="P137" s="479">
        <f t="shared" si="49"/>
        <v>0</v>
      </c>
    </row>
    <row r="138" spans="2:16" ht="12.5">
      <c r="B138" s="160" t="str">
        <f t="shared" si="50"/>
        <v/>
      </c>
      <c r="C138" s="473">
        <f>IF(D93="","-",+C137+1)</f>
        <v>2050</v>
      </c>
      <c r="D138" s="347">
        <f>IF(F137+SUM(E$99:E137)=D$92,F137,D$92-SUM(E$99:E137))</f>
        <v>123503.61999999988</v>
      </c>
      <c r="E138" s="487">
        <f t="shared" si="41"/>
        <v>34246</v>
      </c>
      <c r="F138" s="486">
        <f t="shared" si="42"/>
        <v>89257.619999999879</v>
      </c>
      <c r="G138" s="486">
        <f t="shared" si="43"/>
        <v>106380.61999999988</v>
      </c>
      <c r="H138" s="489">
        <f t="shared" si="44"/>
        <v>45215.334025153614</v>
      </c>
      <c r="I138" s="543">
        <f t="shared" si="45"/>
        <v>45215.334025153614</v>
      </c>
      <c r="J138" s="479">
        <f t="shared" si="46"/>
        <v>0</v>
      </c>
      <c r="K138" s="479"/>
      <c r="L138" s="488"/>
      <c r="M138" s="479">
        <f t="shared" si="47"/>
        <v>0</v>
      </c>
      <c r="N138" s="488"/>
      <c r="O138" s="479">
        <f t="shared" si="48"/>
        <v>0</v>
      </c>
      <c r="P138" s="479">
        <f t="shared" si="49"/>
        <v>0</v>
      </c>
    </row>
    <row r="139" spans="2:16" ht="12.5">
      <c r="B139" s="160" t="str">
        <f t="shared" si="50"/>
        <v/>
      </c>
      <c r="C139" s="473">
        <f>IF(D93="","-",+C138+1)</f>
        <v>2051</v>
      </c>
      <c r="D139" s="347">
        <f>IF(F138+SUM(E$99:E138)=D$92,F138,D$92-SUM(E$99:E138))</f>
        <v>89257.619999999879</v>
      </c>
      <c r="E139" s="487">
        <f t="shared" si="41"/>
        <v>34246</v>
      </c>
      <c r="F139" s="486">
        <f t="shared" si="42"/>
        <v>55011.619999999879</v>
      </c>
      <c r="G139" s="486">
        <f t="shared" si="43"/>
        <v>72134.619999999879</v>
      </c>
      <c r="H139" s="489">
        <f t="shared" si="44"/>
        <v>41684.091087996349</v>
      </c>
      <c r="I139" s="543">
        <f t="shared" si="45"/>
        <v>41684.091087996349</v>
      </c>
      <c r="J139" s="479">
        <f t="shared" si="46"/>
        <v>0</v>
      </c>
      <c r="K139" s="479"/>
      <c r="L139" s="488"/>
      <c r="M139" s="479">
        <f t="shared" si="47"/>
        <v>0</v>
      </c>
      <c r="N139" s="488"/>
      <c r="O139" s="479">
        <f t="shared" si="48"/>
        <v>0</v>
      </c>
      <c r="P139" s="479">
        <f t="shared" si="49"/>
        <v>0</v>
      </c>
    </row>
    <row r="140" spans="2:16" ht="12.5">
      <c r="B140" s="160" t="str">
        <f t="shared" si="50"/>
        <v/>
      </c>
      <c r="C140" s="473">
        <f>IF(D93="","-",+C139+1)</f>
        <v>2052</v>
      </c>
      <c r="D140" s="347">
        <f>IF(F139+SUM(E$99:E139)=D$92,F139,D$92-SUM(E$99:E139))</f>
        <v>55011.619999999879</v>
      </c>
      <c r="E140" s="487">
        <f t="shared" si="41"/>
        <v>34246</v>
      </c>
      <c r="F140" s="486">
        <f t="shared" si="42"/>
        <v>20765.619999999879</v>
      </c>
      <c r="G140" s="486">
        <f t="shared" si="43"/>
        <v>37888.619999999879</v>
      </c>
      <c r="H140" s="489">
        <f t="shared" si="44"/>
        <v>38152.848150839076</v>
      </c>
      <c r="I140" s="543">
        <f t="shared" si="45"/>
        <v>38152.848150839076</v>
      </c>
      <c r="J140" s="479">
        <f t="shared" si="46"/>
        <v>0</v>
      </c>
      <c r="K140" s="479"/>
      <c r="L140" s="488"/>
      <c r="M140" s="479">
        <f t="shared" si="47"/>
        <v>0</v>
      </c>
      <c r="N140" s="488"/>
      <c r="O140" s="479">
        <f t="shared" si="48"/>
        <v>0</v>
      </c>
      <c r="P140" s="479">
        <f t="shared" si="49"/>
        <v>0</v>
      </c>
    </row>
    <row r="141" spans="2:16" ht="12.5">
      <c r="B141" s="160" t="str">
        <f t="shared" si="50"/>
        <v/>
      </c>
      <c r="C141" s="473">
        <f>IF(D93="","-",+C140+1)</f>
        <v>2053</v>
      </c>
      <c r="D141" s="347">
        <f>IF(F140+SUM(E$99:E140)=D$92,F140,D$92-SUM(E$99:E140))</f>
        <v>20765.619999999879</v>
      </c>
      <c r="E141" s="487">
        <f t="shared" si="41"/>
        <v>20765.619999999879</v>
      </c>
      <c r="F141" s="486">
        <f t="shared" si="42"/>
        <v>0</v>
      </c>
      <c r="G141" s="486">
        <f t="shared" si="43"/>
        <v>10382.809999999939</v>
      </c>
      <c r="H141" s="489">
        <f t="shared" si="44"/>
        <v>21836.233341130101</v>
      </c>
      <c r="I141" s="543">
        <f t="shared" si="45"/>
        <v>21836.233341130101</v>
      </c>
      <c r="J141" s="479">
        <f t="shared" si="46"/>
        <v>0</v>
      </c>
      <c r="K141" s="479"/>
      <c r="L141" s="488"/>
      <c r="M141" s="479">
        <f t="shared" si="47"/>
        <v>0</v>
      </c>
      <c r="N141" s="488"/>
      <c r="O141" s="479">
        <f t="shared" si="48"/>
        <v>0</v>
      </c>
      <c r="P141" s="479">
        <f t="shared" si="49"/>
        <v>0</v>
      </c>
    </row>
    <row r="142" spans="2:16" ht="12.5">
      <c r="B142" s="160" t="str">
        <f t="shared" si="50"/>
        <v/>
      </c>
      <c r="C142" s="473">
        <f>IF(D93="","-",+C141+1)</f>
        <v>2054</v>
      </c>
      <c r="D142" s="347">
        <f>IF(F141+SUM(E$99:E141)=D$92,F141,D$92-SUM(E$99:E141))</f>
        <v>0</v>
      </c>
      <c r="E142" s="487">
        <f t="shared" si="41"/>
        <v>0</v>
      </c>
      <c r="F142" s="486">
        <f t="shared" si="42"/>
        <v>0</v>
      </c>
      <c r="G142" s="486">
        <f t="shared" si="43"/>
        <v>0</v>
      </c>
      <c r="H142" s="489">
        <f t="shared" si="44"/>
        <v>0</v>
      </c>
      <c r="I142" s="543">
        <f t="shared" si="45"/>
        <v>0</v>
      </c>
      <c r="J142" s="479">
        <f t="shared" si="46"/>
        <v>0</v>
      </c>
      <c r="K142" s="479"/>
      <c r="L142" s="488"/>
      <c r="M142" s="479">
        <f t="shared" si="47"/>
        <v>0</v>
      </c>
      <c r="N142" s="488"/>
      <c r="O142" s="479">
        <f t="shared" si="48"/>
        <v>0</v>
      </c>
      <c r="P142" s="479">
        <f t="shared" si="49"/>
        <v>0</v>
      </c>
    </row>
    <row r="143" spans="2:16" ht="12.5">
      <c r="B143" s="160" t="str">
        <f t="shared" si="50"/>
        <v/>
      </c>
      <c r="C143" s="473">
        <f>IF(D93="","-",+C142+1)</f>
        <v>2055</v>
      </c>
      <c r="D143" s="347">
        <f>IF(F142+SUM(E$99:E142)=D$92,F142,D$92-SUM(E$99:E142))</f>
        <v>0</v>
      </c>
      <c r="E143" s="487">
        <f t="shared" si="41"/>
        <v>0</v>
      </c>
      <c r="F143" s="486">
        <f t="shared" si="42"/>
        <v>0</v>
      </c>
      <c r="G143" s="486">
        <f t="shared" si="43"/>
        <v>0</v>
      </c>
      <c r="H143" s="489">
        <f t="shared" si="44"/>
        <v>0</v>
      </c>
      <c r="I143" s="543">
        <f t="shared" si="45"/>
        <v>0</v>
      </c>
      <c r="J143" s="479">
        <f t="shared" si="46"/>
        <v>0</v>
      </c>
      <c r="K143" s="479"/>
      <c r="L143" s="488"/>
      <c r="M143" s="479">
        <f t="shared" si="47"/>
        <v>0</v>
      </c>
      <c r="N143" s="488"/>
      <c r="O143" s="479">
        <f t="shared" si="48"/>
        <v>0</v>
      </c>
      <c r="P143" s="479">
        <f t="shared" si="49"/>
        <v>0</v>
      </c>
    </row>
    <row r="144" spans="2:16" ht="12.5">
      <c r="B144" s="160" t="str">
        <f t="shared" si="50"/>
        <v/>
      </c>
      <c r="C144" s="473">
        <f>IF(D93="","-",+C143+1)</f>
        <v>2056</v>
      </c>
      <c r="D144" s="347">
        <f>IF(F143+SUM(E$99:E143)=D$92,F143,D$92-SUM(E$99:E143))</f>
        <v>0</v>
      </c>
      <c r="E144" s="487">
        <f t="shared" si="41"/>
        <v>0</v>
      </c>
      <c r="F144" s="486">
        <f t="shared" si="42"/>
        <v>0</v>
      </c>
      <c r="G144" s="486">
        <f t="shared" si="43"/>
        <v>0</v>
      </c>
      <c r="H144" s="489">
        <f t="shared" si="44"/>
        <v>0</v>
      </c>
      <c r="I144" s="543">
        <f t="shared" si="45"/>
        <v>0</v>
      </c>
      <c r="J144" s="479">
        <f t="shared" si="46"/>
        <v>0</v>
      </c>
      <c r="K144" s="479"/>
      <c r="L144" s="488"/>
      <c r="M144" s="479">
        <f t="shared" si="47"/>
        <v>0</v>
      </c>
      <c r="N144" s="488"/>
      <c r="O144" s="479">
        <f t="shared" si="48"/>
        <v>0</v>
      </c>
      <c r="P144" s="479">
        <f t="shared" si="49"/>
        <v>0</v>
      </c>
    </row>
    <row r="145" spans="2:16" ht="12.5">
      <c r="B145" s="160" t="str">
        <f t="shared" si="50"/>
        <v/>
      </c>
      <c r="C145" s="473">
        <f>IF(D93="","-",+C144+1)</f>
        <v>2057</v>
      </c>
      <c r="D145" s="347">
        <f>IF(F144+SUM(E$99:E144)=D$92,F144,D$92-SUM(E$99:E144))</f>
        <v>0</v>
      </c>
      <c r="E145" s="487">
        <f t="shared" si="41"/>
        <v>0</v>
      </c>
      <c r="F145" s="486">
        <f t="shared" si="42"/>
        <v>0</v>
      </c>
      <c r="G145" s="486">
        <f t="shared" si="43"/>
        <v>0</v>
      </c>
      <c r="H145" s="489">
        <f t="shared" si="44"/>
        <v>0</v>
      </c>
      <c r="I145" s="543">
        <f t="shared" si="45"/>
        <v>0</v>
      </c>
      <c r="J145" s="479">
        <f t="shared" si="46"/>
        <v>0</v>
      </c>
      <c r="K145" s="479"/>
      <c r="L145" s="488"/>
      <c r="M145" s="479">
        <f t="shared" si="47"/>
        <v>0</v>
      </c>
      <c r="N145" s="488"/>
      <c r="O145" s="479">
        <f t="shared" si="48"/>
        <v>0</v>
      </c>
      <c r="P145" s="479">
        <f t="shared" si="49"/>
        <v>0</v>
      </c>
    </row>
    <row r="146" spans="2:16" ht="12.5">
      <c r="B146" s="160" t="str">
        <f t="shared" si="50"/>
        <v/>
      </c>
      <c r="C146" s="473">
        <f>IF(D93="","-",+C145+1)</f>
        <v>2058</v>
      </c>
      <c r="D146" s="347">
        <f>IF(F145+SUM(E$99:E145)=D$92,F145,D$92-SUM(E$99:E145))</f>
        <v>0</v>
      </c>
      <c r="E146" s="487">
        <f t="shared" si="41"/>
        <v>0</v>
      </c>
      <c r="F146" s="486">
        <f t="shared" si="42"/>
        <v>0</v>
      </c>
      <c r="G146" s="486">
        <f t="shared" si="43"/>
        <v>0</v>
      </c>
      <c r="H146" s="489">
        <f t="shared" si="44"/>
        <v>0</v>
      </c>
      <c r="I146" s="543">
        <f t="shared" si="45"/>
        <v>0</v>
      </c>
      <c r="J146" s="479">
        <f t="shared" si="46"/>
        <v>0</v>
      </c>
      <c r="K146" s="479"/>
      <c r="L146" s="488"/>
      <c r="M146" s="479">
        <f t="shared" si="47"/>
        <v>0</v>
      </c>
      <c r="N146" s="488"/>
      <c r="O146" s="479">
        <f t="shared" si="48"/>
        <v>0</v>
      </c>
      <c r="P146" s="479">
        <f t="shared" si="49"/>
        <v>0</v>
      </c>
    </row>
    <row r="147" spans="2:16" ht="12.5">
      <c r="B147" s="160" t="str">
        <f t="shared" si="50"/>
        <v/>
      </c>
      <c r="C147" s="473">
        <f>IF(D93="","-",+C146+1)</f>
        <v>2059</v>
      </c>
      <c r="D147" s="347">
        <f>IF(F146+SUM(E$99:E146)=D$92,F146,D$92-SUM(E$99:E146))</f>
        <v>0</v>
      </c>
      <c r="E147" s="487">
        <f t="shared" si="41"/>
        <v>0</v>
      </c>
      <c r="F147" s="486">
        <f t="shared" si="42"/>
        <v>0</v>
      </c>
      <c r="G147" s="486">
        <f t="shared" si="43"/>
        <v>0</v>
      </c>
      <c r="H147" s="489">
        <f t="shared" si="44"/>
        <v>0</v>
      </c>
      <c r="I147" s="543">
        <f t="shared" si="45"/>
        <v>0</v>
      </c>
      <c r="J147" s="479">
        <f t="shared" si="46"/>
        <v>0</v>
      </c>
      <c r="K147" s="479"/>
      <c r="L147" s="488"/>
      <c r="M147" s="479">
        <f t="shared" si="47"/>
        <v>0</v>
      </c>
      <c r="N147" s="488"/>
      <c r="O147" s="479">
        <f t="shared" si="48"/>
        <v>0</v>
      </c>
      <c r="P147" s="479">
        <f t="shared" si="49"/>
        <v>0</v>
      </c>
    </row>
    <row r="148" spans="2:16" ht="12.5">
      <c r="B148" s="160" t="str">
        <f t="shared" si="50"/>
        <v/>
      </c>
      <c r="C148" s="473">
        <f>IF(D93="","-",+C147+1)</f>
        <v>2060</v>
      </c>
      <c r="D148" s="347">
        <f>IF(F147+SUM(E$99:E147)=D$92,F147,D$92-SUM(E$99:E147))</f>
        <v>0</v>
      </c>
      <c r="E148" s="487">
        <f t="shared" si="41"/>
        <v>0</v>
      </c>
      <c r="F148" s="486">
        <f t="shared" si="42"/>
        <v>0</v>
      </c>
      <c r="G148" s="486">
        <f t="shared" si="43"/>
        <v>0</v>
      </c>
      <c r="H148" s="489">
        <f t="shared" si="44"/>
        <v>0</v>
      </c>
      <c r="I148" s="543">
        <f t="shared" si="45"/>
        <v>0</v>
      </c>
      <c r="J148" s="479">
        <f t="shared" si="46"/>
        <v>0</v>
      </c>
      <c r="K148" s="479"/>
      <c r="L148" s="488"/>
      <c r="M148" s="479">
        <f t="shared" si="47"/>
        <v>0</v>
      </c>
      <c r="N148" s="488"/>
      <c r="O148" s="479">
        <f t="shared" si="48"/>
        <v>0</v>
      </c>
      <c r="P148" s="479">
        <f t="shared" si="49"/>
        <v>0</v>
      </c>
    </row>
    <row r="149" spans="2:16" ht="12.5">
      <c r="B149" s="160" t="str">
        <f t="shared" si="50"/>
        <v/>
      </c>
      <c r="C149" s="473">
        <f>IF(D93="","-",+C148+1)</f>
        <v>2061</v>
      </c>
      <c r="D149" s="347">
        <f>IF(F148+SUM(E$99:E148)=D$92,F148,D$92-SUM(E$99:E148))</f>
        <v>0</v>
      </c>
      <c r="E149" s="487">
        <f t="shared" si="41"/>
        <v>0</v>
      </c>
      <c r="F149" s="486">
        <f t="shared" si="42"/>
        <v>0</v>
      </c>
      <c r="G149" s="486">
        <f t="shared" si="43"/>
        <v>0</v>
      </c>
      <c r="H149" s="489">
        <f t="shared" si="44"/>
        <v>0</v>
      </c>
      <c r="I149" s="543">
        <f t="shared" si="45"/>
        <v>0</v>
      </c>
      <c r="J149" s="479">
        <f t="shared" si="46"/>
        <v>0</v>
      </c>
      <c r="K149" s="479"/>
      <c r="L149" s="488"/>
      <c r="M149" s="479">
        <f t="shared" si="47"/>
        <v>0</v>
      </c>
      <c r="N149" s="488"/>
      <c r="O149" s="479">
        <f t="shared" si="48"/>
        <v>0</v>
      </c>
      <c r="P149" s="479">
        <f t="shared" si="49"/>
        <v>0</v>
      </c>
    </row>
    <row r="150" spans="2:16" ht="12.5">
      <c r="B150" s="160" t="str">
        <f t="shared" si="50"/>
        <v/>
      </c>
      <c r="C150" s="473">
        <f>IF(D93="","-",+C149+1)</f>
        <v>2062</v>
      </c>
      <c r="D150" s="347">
        <f>IF(F149+SUM(E$99:E149)=D$92,F149,D$92-SUM(E$99:E149))</f>
        <v>0</v>
      </c>
      <c r="E150" s="487">
        <f t="shared" si="41"/>
        <v>0</v>
      </c>
      <c r="F150" s="486">
        <f t="shared" si="42"/>
        <v>0</v>
      </c>
      <c r="G150" s="486">
        <f t="shared" si="43"/>
        <v>0</v>
      </c>
      <c r="H150" s="489">
        <f t="shared" si="44"/>
        <v>0</v>
      </c>
      <c r="I150" s="543">
        <f t="shared" si="45"/>
        <v>0</v>
      </c>
      <c r="J150" s="479">
        <f t="shared" si="46"/>
        <v>0</v>
      </c>
      <c r="K150" s="479"/>
      <c r="L150" s="488"/>
      <c r="M150" s="479">
        <f t="shared" si="47"/>
        <v>0</v>
      </c>
      <c r="N150" s="488"/>
      <c r="O150" s="479">
        <f t="shared" si="48"/>
        <v>0</v>
      </c>
      <c r="P150" s="479">
        <f t="shared" si="49"/>
        <v>0</v>
      </c>
    </row>
    <row r="151" spans="2:16" ht="12.5">
      <c r="B151" s="160" t="str">
        <f t="shared" si="50"/>
        <v/>
      </c>
      <c r="C151" s="473">
        <f>IF(D93="","-",+C150+1)</f>
        <v>2063</v>
      </c>
      <c r="D151" s="347">
        <f>IF(F150+SUM(E$99:E150)=D$92,F150,D$92-SUM(E$99:E150))</f>
        <v>0</v>
      </c>
      <c r="E151" s="487">
        <f t="shared" si="41"/>
        <v>0</v>
      </c>
      <c r="F151" s="486">
        <f t="shared" si="42"/>
        <v>0</v>
      </c>
      <c r="G151" s="486">
        <f t="shared" si="43"/>
        <v>0</v>
      </c>
      <c r="H151" s="489">
        <f t="shared" si="44"/>
        <v>0</v>
      </c>
      <c r="I151" s="543">
        <f t="shared" si="45"/>
        <v>0</v>
      </c>
      <c r="J151" s="479">
        <f t="shared" si="46"/>
        <v>0</v>
      </c>
      <c r="K151" s="479"/>
      <c r="L151" s="488"/>
      <c r="M151" s="479">
        <f t="shared" si="47"/>
        <v>0</v>
      </c>
      <c r="N151" s="488"/>
      <c r="O151" s="479">
        <f t="shared" si="48"/>
        <v>0</v>
      </c>
      <c r="P151" s="479">
        <f t="shared" si="49"/>
        <v>0</v>
      </c>
    </row>
    <row r="152" spans="2:16" ht="12.5">
      <c r="B152" s="160" t="str">
        <f t="shared" si="50"/>
        <v/>
      </c>
      <c r="C152" s="473">
        <f>IF(D93="","-",+C151+1)</f>
        <v>2064</v>
      </c>
      <c r="D152" s="347">
        <f>IF(F151+SUM(E$99:E151)=D$92,F151,D$92-SUM(E$99:E151))</f>
        <v>0</v>
      </c>
      <c r="E152" s="487">
        <f t="shared" si="41"/>
        <v>0</v>
      </c>
      <c r="F152" s="486">
        <f t="shared" si="42"/>
        <v>0</v>
      </c>
      <c r="G152" s="486">
        <f t="shared" si="43"/>
        <v>0</v>
      </c>
      <c r="H152" s="489">
        <f t="shared" si="44"/>
        <v>0</v>
      </c>
      <c r="I152" s="543">
        <f t="shared" si="45"/>
        <v>0</v>
      </c>
      <c r="J152" s="479">
        <f t="shared" si="46"/>
        <v>0</v>
      </c>
      <c r="K152" s="479"/>
      <c r="L152" s="488"/>
      <c r="M152" s="479">
        <f t="shared" si="47"/>
        <v>0</v>
      </c>
      <c r="N152" s="488"/>
      <c r="O152" s="479">
        <f t="shared" si="48"/>
        <v>0</v>
      </c>
      <c r="P152" s="479">
        <f t="shared" si="49"/>
        <v>0</v>
      </c>
    </row>
    <row r="153" spans="2:16" ht="12.5">
      <c r="B153" s="160" t="str">
        <f t="shared" si="50"/>
        <v/>
      </c>
      <c r="C153" s="473">
        <f>IF(D93="","-",+C152+1)</f>
        <v>2065</v>
      </c>
      <c r="D153" s="347">
        <f>IF(F152+SUM(E$99:E152)=D$92,F152,D$92-SUM(E$99:E152))</f>
        <v>0</v>
      </c>
      <c r="E153" s="487">
        <f t="shared" si="41"/>
        <v>0</v>
      </c>
      <c r="F153" s="486">
        <f t="shared" si="42"/>
        <v>0</v>
      </c>
      <c r="G153" s="486">
        <f t="shared" si="43"/>
        <v>0</v>
      </c>
      <c r="H153" s="489">
        <f t="shared" si="44"/>
        <v>0</v>
      </c>
      <c r="I153" s="543">
        <f t="shared" si="45"/>
        <v>0</v>
      </c>
      <c r="J153" s="479">
        <f t="shared" si="46"/>
        <v>0</v>
      </c>
      <c r="K153" s="479"/>
      <c r="L153" s="488"/>
      <c r="M153" s="479">
        <f t="shared" si="47"/>
        <v>0</v>
      </c>
      <c r="N153" s="488"/>
      <c r="O153" s="479">
        <f t="shared" si="48"/>
        <v>0</v>
      </c>
      <c r="P153" s="479">
        <f t="shared" si="49"/>
        <v>0</v>
      </c>
    </row>
    <row r="154" spans="2:16" ht="13" thickBot="1">
      <c r="B154" s="160" t="str">
        <f t="shared" si="50"/>
        <v/>
      </c>
      <c r="C154" s="490">
        <f>IF(D93="","-",+C153+1)</f>
        <v>2066</v>
      </c>
      <c r="D154" s="577">
        <f>IF(F153+SUM(E$99:E153)=D$92,F153,D$92-SUM(E$99:E153))</f>
        <v>0</v>
      </c>
      <c r="E154" s="545">
        <f t="shared" si="41"/>
        <v>0</v>
      </c>
      <c r="F154" s="491">
        <f t="shared" si="42"/>
        <v>0</v>
      </c>
      <c r="G154" s="491">
        <f t="shared" si="43"/>
        <v>0</v>
      </c>
      <c r="H154" s="493">
        <f t="shared" si="44"/>
        <v>0</v>
      </c>
      <c r="I154" s="546">
        <f t="shared" si="45"/>
        <v>0</v>
      </c>
      <c r="J154" s="496">
        <f t="shared" si="46"/>
        <v>0</v>
      </c>
      <c r="K154" s="479"/>
      <c r="L154" s="495"/>
      <c r="M154" s="496">
        <f t="shared" si="47"/>
        <v>0</v>
      </c>
      <c r="N154" s="495"/>
      <c r="O154" s="496">
        <f t="shared" si="48"/>
        <v>0</v>
      </c>
      <c r="P154" s="496">
        <f t="shared" si="49"/>
        <v>0</v>
      </c>
    </row>
    <row r="155" spans="2:16" ht="12.5">
      <c r="C155" s="347" t="s">
        <v>77</v>
      </c>
      <c r="D155" s="348"/>
      <c r="E155" s="348">
        <f>SUM(E99:E154)</f>
        <v>1404099.6199999999</v>
      </c>
      <c r="F155" s="348"/>
      <c r="G155" s="348"/>
      <c r="H155" s="348">
        <f>SUM(H99:H154)</f>
        <v>4840706.4420374325</v>
      </c>
      <c r="I155" s="348">
        <f>SUM(I99:I154)</f>
        <v>4840706.4420374325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8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12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403446.06827075174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403446.06827075174</v>
      </c>
      <c r="O6" s="233"/>
      <c r="P6" s="233"/>
    </row>
    <row r="7" spans="1:16" ht="13.5" thickBot="1">
      <c r="C7" s="432" t="s">
        <v>46</v>
      </c>
      <c r="D7" s="433" t="s">
        <v>237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236</v>
      </c>
      <c r="E9" s="578" t="s">
        <v>295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3305767.14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2012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8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73461.491999999998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2012</v>
      </c>
      <c r="D17" s="474">
        <v>1132400</v>
      </c>
      <c r="E17" s="475">
        <v>3629.4871794871797</v>
      </c>
      <c r="F17" s="474">
        <v>1128770.5128205128</v>
      </c>
      <c r="G17" s="475">
        <v>160761.94360740471</v>
      </c>
      <c r="H17" s="482">
        <v>160761.94360740471</v>
      </c>
      <c r="I17" s="476">
        <f t="shared" ref="I17:I48" si="0">H17-G17</f>
        <v>0</v>
      </c>
      <c r="J17" s="476"/>
      <c r="K17" s="555">
        <f t="shared" ref="K17:K22" si="1">G17</f>
        <v>160761.94360740471</v>
      </c>
      <c r="L17" s="563">
        <f t="shared" ref="L17:L48" si="2">IF(K17&lt;&gt;0,+G17-K17,0)</f>
        <v>0</v>
      </c>
      <c r="M17" s="555">
        <f t="shared" ref="M17:M22" si="3">H17</f>
        <v>160761.94360740471</v>
      </c>
      <c r="N17" s="560">
        <f t="shared" ref="N17:N48" si="4">IF(M17&lt;&gt;0,+H17-M17,0)</f>
        <v>0</v>
      </c>
      <c r="O17" s="479">
        <f t="shared" ref="O17:O48" si="5">+N17-L17</f>
        <v>0</v>
      </c>
      <c r="P17" s="243"/>
    </row>
    <row r="18" spans="2:16" ht="12.5">
      <c r="B18" s="160" t="str">
        <f t="shared" ref="B18:B49" si="6">IF(D18=F17,"","IU")</f>
        <v>IU</v>
      </c>
      <c r="C18" s="473">
        <f>IF(D11="","-",+C17+1)</f>
        <v>2013</v>
      </c>
      <c r="D18" s="474">
        <v>2746405</v>
      </c>
      <c r="E18" s="481">
        <v>52885</v>
      </c>
      <c r="F18" s="474">
        <v>2693519</v>
      </c>
      <c r="G18" s="481">
        <v>437538</v>
      </c>
      <c r="H18" s="482">
        <v>437538</v>
      </c>
      <c r="I18" s="476">
        <f t="shared" si="0"/>
        <v>0</v>
      </c>
      <c r="J18" s="476"/>
      <c r="K18" s="477">
        <f t="shared" si="1"/>
        <v>437538</v>
      </c>
      <c r="L18" s="551">
        <f t="shared" ref="L18:L23" si="7">IF(K18&lt;&gt;0,+G18-K18,0)</f>
        <v>0</v>
      </c>
      <c r="M18" s="477">
        <f t="shared" si="3"/>
        <v>437538</v>
      </c>
      <c r="N18" s="479">
        <f t="shared" ref="N18:N23" si="8">IF(M18&lt;&gt;0,+H18-M18,0)</f>
        <v>0</v>
      </c>
      <c r="O18" s="479">
        <f t="shared" ref="O18:O23" si="9">+N18-L18</f>
        <v>0</v>
      </c>
      <c r="P18" s="243"/>
    </row>
    <row r="19" spans="2:16" ht="12.5">
      <c r="B19" s="160" t="str">
        <f t="shared" si="6"/>
        <v>IU</v>
      </c>
      <c r="C19" s="473">
        <f>IF(D11="","-",+C18+1)</f>
        <v>2014</v>
      </c>
      <c r="D19" s="474">
        <v>3185619.512820513</v>
      </c>
      <c r="E19" s="481">
        <v>62348.730769230766</v>
      </c>
      <c r="F19" s="474">
        <v>3123270.782051282</v>
      </c>
      <c r="G19" s="481">
        <v>492294.73076923075</v>
      </c>
      <c r="H19" s="482">
        <v>492294.73076923075</v>
      </c>
      <c r="I19" s="476">
        <v>0</v>
      </c>
      <c r="J19" s="476"/>
      <c r="K19" s="477">
        <f t="shared" si="1"/>
        <v>492294.73076923075</v>
      </c>
      <c r="L19" s="551">
        <f t="shared" si="7"/>
        <v>0</v>
      </c>
      <c r="M19" s="477">
        <f t="shared" si="3"/>
        <v>492294.73076923075</v>
      </c>
      <c r="N19" s="479">
        <f t="shared" si="8"/>
        <v>0</v>
      </c>
      <c r="O19" s="479">
        <f t="shared" si="9"/>
        <v>0</v>
      </c>
      <c r="P19" s="243"/>
    </row>
    <row r="20" spans="2:16" ht="12.5">
      <c r="B20" s="160" t="str">
        <f t="shared" si="6"/>
        <v>IU</v>
      </c>
      <c r="C20" s="473">
        <f>IF(D11="","-",+C19+1)</f>
        <v>2015</v>
      </c>
      <c r="D20" s="474">
        <v>3186903.9220512821</v>
      </c>
      <c r="E20" s="481">
        <v>63572.445</v>
      </c>
      <c r="F20" s="474">
        <v>3123331.4770512823</v>
      </c>
      <c r="G20" s="481">
        <v>494191.44500000001</v>
      </c>
      <c r="H20" s="482">
        <v>494191.44500000001</v>
      </c>
      <c r="I20" s="476">
        <v>0</v>
      </c>
      <c r="J20" s="476"/>
      <c r="K20" s="477">
        <f t="shared" si="1"/>
        <v>494191.44500000001</v>
      </c>
      <c r="L20" s="551">
        <f t="shared" si="7"/>
        <v>0</v>
      </c>
      <c r="M20" s="477">
        <f t="shared" si="3"/>
        <v>494191.44500000001</v>
      </c>
      <c r="N20" s="479">
        <f t="shared" si="8"/>
        <v>0</v>
      </c>
      <c r="O20" s="479">
        <f t="shared" si="9"/>
        <v>0</v>
      </c>
      <c r="P20" s="243"/>
    </row>
    <row r="21" spans="2:16" ht="12.5">
      <c r="B21" s="160" t="str">
        <f t="shared" si="6"/>
        <v/>
      </c>
      <c r="C21" s="473">
        <f>IF(D11="","-",+C20+1)</f>
        <v>2016</v>
      </c>
      <c r="D21" s="474">
        <v>3123331.4770512823</v>
      </c>
      <c r="E21" s="481">
        <v>63572.445</v>
      </c>
      <c r="F21" s="474">
        <v>3059759.0320512825</v>
      </c>
      <c r="G21" s="481">
        <v>464889.44500000001</v>
      </c>
      <c r="H21" s="482">
        <v>464889.44500000001</v>
      </c>
      <c r="I21" s="476">
        <f t="shared" si="0"/>
        <v>0</v>
      </c>
      <c r="J21" s="476"/>
      <c r="K21" s="477">
        <f t="shared" si="1"/>
        <v>464889.44500000001</v>
      </c>
      <c r="L21" s="551">
        <f t="shared" si="7"/>
        <v>0</v>
      </c>
      <c r="M21" s="477">
        <f t="shared" si="3"/>
        <v>464889.44500000001</v>
      </c>
      <c r="N21" s="479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6"/>
        <v/>
      </c>
      <c r="C22" s="473">
        <f>IF(D11="","-",+C21+1)</f>
        <v>2017</v>
      </c>
      <c r="D22" s="474">
        <v>3059759.0320512825</v>
      </c>
      <c r="E22" s="481">
        <v>71864.503043478268</v>
      </c>
      <c r="F22" s="474">
        <v>2987894.5290078041</v>
      </c>
      <c r="G22" s="481">
        <v>452105.50304347824</v>
      </c>
      <c r="H22" s="482">
        <v>452105.50304347824</v>
      </c>
      <c r="I22" s="476">
        <f t="shared" si="0"/>
        <v>0</v>
      </c>
      <c r="J22" s="476"/>
      <c r="K22" s="477">
        <f t="shared" si="1"/>
        <v>452105.50304347824</v>
      </c>
      <c r="L22" s="551">
        <f t="shared" si="7"/>
        <v>0</v>
      </c>
      <c r="M22" s="477">
        <f t="shared" si="3"/>
        <v>452105.50304347824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2018</v>
      </c>
      <c r="D23" s="474">
        <v>2987894.5290078041</v>
      </c>
      <c r="E23" s="481">
        <v>73461.491999999998</v>
      </c>
      <c r="F23" s="474">
        <v>2914433.037007804</v>
      </c>
      <c r="G23" s="481">
        <v>426889.74050815182</v>
      </c>
      <c r="H23" s="482">
        <v>426889.74050815182</v>
      </c>
      <c r="I23" s="476">
        <f t="shared" si="0"/>
        <v>0</v>
      </c>
      <c r="J23" s="476"/>
      <c r="K23" s="477">
        <f>G23</f>
        <v>426889.74050815182</v>
      </c>
      <c r="L23" s="551">
        <f t="shared" si="7"/>
        <v>0</v>
      </c>
      <c r="M23" s="477">
        <f>H23</f>
        <v>426889.74050815182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2019</v>
      </c>
      <c r="D24" s="474">
        <v>2914433.037007804</v>
      </c>
      <c r="E24" s="481">
        <v>82644.178500000009</v>
      </c>
      <c r="F24" s="474">
        <v>2831788.8585078041</v>
      </c>
      <c r="G24" s="481">
        <v>403446.06827075174</v>
      </c>
      <c r="H24" s="482">
        <v>403446.06827075174</v>
      </c>
      <c r="I24" s="476">
        <f t="shared" si="0"/>
        <v>0</v>
      </c>
      <c r="J24" s="476"/>
      <c r="K24" s="477">
        <f>G24</f>
        <v>403446.06827075174</v>
      </c>
      <c r="L24" s="551">
        <f t="shared" ref="L24" si="10">IF(K24&lt;&gt;0,+G24-K24,0)</f>
        <v>0</v>
      </c>
      <c r="M24" s="477">
        <f>H24</f>
        <v>403446.06827075174</v>
      </c>
      <c r="N24" s="479">
        <f t="shared" ref="N24" si="11">IF(M24&lt;&gt;0,+H24-M24,0)</f>
        <v>0</v>
      </c>
      <c r="O24" s="479">
        <f t="shared" ref="O24" si="12">+N24-L24</f>
        <v>0</v>
      </c>
      <c r="P24" s="243"/>
    </row>
    <row r="25" spans="2:16" ht="12.5">
      <c r="B25" s="160" t="str">
        <f t="shared" si="6"/>
        <v/>
      </c>
      <c r="C25" s="473">
        <f>IF(D11="","-",+C24+1)</f>
        <v>2020</v>
      </c>
      <c r="D25" s="486">
        <f>IF(F24+SUM(E$17:E24)=D$10,F24,D$10-SUM(E$17:E24))</f>
        <v>2831788.8585078041</v>
      </c>
      <c r="E25" s="485">
        <f>IF(+I14&lt;F24,I14,D25)</f>
        <v>73461.491999999998</v>
      </c>
      <c r="F25" s="486">
        <f t="shared" ref="F25:F48" si="13">+D25-E25</f>
        <v>2758327.366507804</v>
      </c>
      <c r="G25" s="487">
        <f t="shared" ref="G25:G49" si="14">ROUND(I$12*F25,0)+E25</f>
        <v>446760.49199999997</v>
      </c>
      <c r="H25" s="456">
        <f t="shared" ref="H25:H49" si="15">ROUND(I$13*F25,0)+E25</f>
        <v>446760.49199999997</v>
      </c>
      <c r="I25" s="476">
        <f t="shared" si="0"/>
        <v>0</v>
      </c>
      <c r="J25" s="476"/>
      <c r="K25" s="488"/>
      <c r="L25" s="479">
        <f t="shared" si="2"/>
        <v>0</v>
      </c>
      <c r="M25" s="488"/>
      <c r="N25" s="479">
        <f t="shared" si="4"/>
        <v>0</v>
      </c>
      <c r="O25" s="479">
        <f t="shared" si="5"/>
        <v>0</v>
      </c>
      <c r="P25" s="243"/>
    </row>
    <row r="26" spans="2:16" ht="12.5">
      <c r="B26" s="160" t="str">
        <f t="shared" si="6"/>
        <v/>
      </c>
      <c r="C26" s="473">
        <f>IF(D11="","-",+C25+1)</f>
        <v>2021</v>
      </c>
      <c r="D26" s="486">
        <f>IF(F25+SUM(E$17:E25)=D$10,F25,D$10-SUM(E$17:E25))</f>
        <v>2758327.366507804</v>
      </c>
      <c r="E26" s="485">
        <f>IF(+I14&lt;F25,I14,D26)</f>
        <v>73461.491999999998</v>
      </c>
      <c r="F26" s="486">
        <f t="shared" si="13"/>
        <v>2684865.8745078039</v>
      </c>
      <c r="G26" s="487">
        <f t="shared" si="14"/>
        <v>436818.49199999997</v>
      </c>
      <c r="H26" s="456">
        <f t="shared" si="15"/>
        <v>436818.49199999997</v>
      </c>
      <c r="I26" s="476">
        <f t="shared" si="0"/>
        <v>0</v>
      </c>
      <c r="J26" s="476"/>
      <c r="K26" s="488"/>
      <c r="L26" s="479">
        <f t="shared" si="2"/>
        <v>0</v>
      </c>
      <c r="M26" s="488"/>
      <c r="N26" s="479">
        <f t="shared" si="4"/>
        <v>0</v>
      </c>
      <c r="O26" s="479">
        <f t="shared" si="5"/>
        <v>0</v>
      </c>
      <c r="P26" s="243"/>
    </row>
    <row r="27" spans="2:16" ht="12.5">
      <c r="B27" s="160" t="str">
        <f t="shared" si="6"/>
        <v/>
      </c>
      <c r="C27" s="473">
        <f>IF(D11="","-",+C26+1)</f>
        <v>2022</v>
      </c>
      <c r="D27" s="484">
        <f>IF(F26+SUM(E$17:E26)=D$10,F26,D$10-SUM(E$17:E26))</f>
        <v>2684865.8745078039</v>
      </c>
      <c r="E27" s="485">
        <f>IF(+I14&lt;F26,I14,D27)</f>
        <v>73461.491999999998</v>
      </c>
      <c r="F27" s="486">
        <f t="shared" si="13"/>
        <v>2611404.3825078038</v>
      </c>
      <c r="G27" s="487">
        <f t="shared" si="14"/>
        <v>426876.49199999997</v>
      </c>
      <c r="H27" s="456">
        <f t="shared" si="15"/>
        <v>426876.49199999997</v>
      </c>
      <c r="I27" s="476">
        <f t="shared" si="0"/>
        <v>0</v>
      </c>
      <c r="J27" s="476"/>
      <c r="K27" s="488"/>
      <c r="L27" s="479">
        <f t="shared" si="2"/>
        <v>0</v>
      </c>
      <c r="M27" s="488"/>
      <c r="N27" s="479">
        <f t="shared" si="4"/>
        <v>0</v>
      </c>
      <c r="O27" s="479">
        <f t="shared" si="5"/>
        <v>0</v>
      </c>
      <c r="P27" s="243"/>
    </row>
    <row r="28" spans="2:16" ht="12.5">
      <c r="B28" s="160" t="str">
        <f t="shared" si="6"/>
        <v/>
      </c>
      <c r="C28" s="473">
        <f>IF(D11="","-",+C27+1)</f>
        <v>2023</v>
      </c>
      <c r="D28" s="486">
        <f>IF(F27+SUM(E$17:E27)=D$10,F27,D$10-SUM(E$17:E27))</f>
        <v>2611404.3825078038</v>
      </c>
      <c r="E28" s="485">
        <f>IF(+I14&lt;F27,I14,D28)</f>
        <v>73461.491999999998</v>
      </c>
      <c r="F28" s="486">
        <f t="shared" si="13"/>
        <v>2537942.8905078038</v>
      </c>
      <c r="G28" s="487">
        <f t="shared" si="14"/>
        <v>416935.49199999997</v>
      </c>
      <c r="H28" s="456">
        <f t="shared" si="15"/>
        <v>416935.49199999997</v>
      </c>
      <c r="I28" s="476">
        <f t="shared" si="0"/>
        <v>0</v>
      </c>
      <c r="J28" s="476"/>
      <c r="K28" s="488"/>
      <c r="L28" s="479">
        <f t="shared" si="2"/>
        <v>0</v>
      </c>
      <c r="M28" s="488"/>
      <c r="N28" s="479">
        <f t="shared" si="4"/>
        <v>0</v>
      </c>
      <c r="O28" s="479">
        <f t="shared" si="5"/>
        <v>0</v>
      </c>
      <c r="P28" s="243"/>
    </row>
    <row r="29" spans="2:16" ht="12.5">
      <c r="B29" s="160" t="str">
        <f t="shared" si="6"/>
        <v/>
      </c>
      <c r="C29" s="473">
        <f>IF(D11="","-",+C28+1)</f>
        <v>2024</v>
      </c>
      <c r="D29" s="486">
        <f>IF(F28+SUM(E$17:E28)=D$10,F28,D$10-SUM(E$17:E28))</f>
        <v>2537942.8905078038</v>
      </c>
      <c r="E29" s="485">
        <f>IF(+I14&lt;F28,I14,D29)</f>
        <v>73461.491999999998</v>
      </c>
      <c r="F29" s="486">
        <f t="shared" si="13"/>
        <v>2464481.3985078037</v>
      </c>
      <c r="G29" s="487">
        <f t="shared" si="14"/>
        <v>406993.49199999997</v>
      </c>
      <c r="H29" s="456">
        <f t="shared" si="15"/>
        <v>406993.49199999997</v>
      </c>
      <c r="I29" s="476">
        <f t="shared" si="0"/>
        <v>0</v>
      </c>
      <c r="J29" s="476"/>
      <c r="K29" s="488"/>
      <c r="L29" s="479">
        <f t="shared" si="2"/>
        <v>0</v>
      </c>
      <c r="M29" s="488"/>
      <c r="N29" s="479">
        <f t="shared" si="4"/>
        <v>0</v>
      </c>
      <c r="O29" s="479">
        <f t="shared" si="5"/>
        <v>0</v>
      </c>
      <c r="P29" s="243"/>
    </row>
    <row r="30" spans="2:16" ht="12.5">
      <c r="B30" s="160" t="str">
        <f t="shared" si="6"/>
        <v/>
      </c>
      <c r="C30" s="473">
        <f>IF(D11="","-",+C29+1)</f>
        <v>2025</v>
      </c>
      <c r="D30" s="486">
        <f>IF(F29+SUM(E$17:E29)=D$10,F29,D$10-SUM(E$17:E29))</f>
        <v>2464481.3985078037</v>
      </c>
      <c r="E30" s="485">
        <f>IF(+I14&lt;F29,I14,D30)</f>
        <v>73461.491999999998</v>
      </c>
      <c r="F30" s="486">
        <f t="shared" si="13"/>
        <v>2391019.9065078036</v>
      </c>
      <c r="G30" s="487">
        <f t="shared" si="14"/>
        <v>397051.49199999997</v>
      </c>
      <c r="H30" s="456">
        <f t="shared" si="15"/>
        <v>397051.49199999997</v>
      </c>
      <c r="I30" s="476">
        <f t="shared" si="0"/>
        <v>0</v>
      </c>
      <c r="J30" s="476"/>
      <c r="K30" s="488"/>
      <c r="L30" s="479">
        <f t="shared" si="2"/>
        <v>0</v>
      </c>
      <c r="M30" s="488"/>
      <c r="N30" s="479">
        <f t="shared" si="4"/>
        <v>0</v>
      </c>
      <c r="O30" s="479">
        <f t="shared" si="5"/>
        <v>0</v>
      </c>
      <c r="P30" s="243"/>
    </row>
    <row r="31" spans="2:16" ht="12.5">
      <c r="B31" s="160" t="str">
        <f t="shared" si="6"/>
        <v/>
      </c>
      <c r="C31" s="473">
        <f>IF(D11="","-",+C30+1)</f>
        <v>2026</v>
      </c>
      <c r="D31" s="486">
        <f>IF(F30+SUM(E$17:E30)=D$10,F30,D$10-SUM(E$17:E30))</f>
        <v>2391019.9065078036</v>
      </c>
      <c r="E31" s="485">
        <f>IF(+I14&lt;F30,I14,D31)</f>
        <v>73461.491999999998</v>
      </c>
      <c r="F31" s="486">
        <f t="shared" si="13"/>
        <v>2317558.4145078035</v>
      </c>
      <c r="G31" s="487">
        <f t="shared" si="14"/>
        <v>387109.49199999997</v>
      </c>
      <c r="H31" s="456">
        <f t="shared" si="15"/>
        <v>387109.49199999997</v>
      </c>
      <c r="I31" s="476">
        <f t="shared" si="0"/>
        <v>0</v>
      </c>
      <c r="J31" s="476"/>
      <c r="K31" s="488"/>
      <c r="L31" s="479">
        <f t="shared" si="2"/>
        <v>0</v>
      </c>
      <c r="M31" s="488"/>
      <c r="N31" s="479">
        <f t="shared" si="4"/>
        <v>0</v>
      </c>
      <c r="O31" s="479">
        <f t="shared" si="5"/>
        <v>0</v>
      </c>
      <c r="P31" s="243"/>
    </row>
    <row r="32" spans="2:16" ht="12.5">
      <c r="B32" s="160" t="str">
        <f t="shared" si="6"/>
        <v/>
      </c>
      <c r="C32" s="473">
        <f>IF(D11="","-",+C31+1)</f>
        <v>2027</v>
      </c>
      <c r="D32" s="486">
        <f>IF(F31+SUM(E$17:E31)=D$10,F31,D$10-SUM(E$17:E31))</f>
        <v>2317558.4145078035</v>
      </c>
      <c r="E32" s="485">
        <f>IF(+I14&lt;F31,I14,D32)</f>
        <v>73461.491999999998</v>
      </c>
      <c r="F32" s="486">
        <f t="shared" si="13"/>
        <v>2244096.9225078034</v>
      </c>
      <c r="G32" s="487">
        <f t="shared" si="14"/>
        <v>377167.49199999997</v>
      </c>
      <c r="H32" s="456">
        <f t="shared" si="15"/>
        <v>377167.49199999997</v>
      </c>
      <c r="I32" s="476">
        <f t="shared" si="0"/>
        <v>0</v>
      </c>
      <c r="J32" s="476"/>
      <c r="K32" s="488"/>
      <c r="L32" s="479">
        <f t="shared" si="2"/>
        <v>0</v>
      </c>
      <c r="M32" s="488"/>
      <c r="N32" s="479">
        <f t="shared" si="4"/>
        <v>0</v>
      </c>
      <c r="O32" s="479">
        <f t="shared" si="5"/>
        <v>0</v>
      </c>
      <c r="P32" s="243"/>
    </row>
    <row r="33" spans="2:16" ht="12.5">
      <c r="B33" s="160" t="str">
        <f t="shared" si="6"/>
        <v/>
      </c>
      <c r="C33" s="473">
        <f>IF(D11="","-",+C32+1)</f>
        <v>2028</v>
      </c>
      <c r="D33" s="486">
        <f>IF(F32+SUM(E$17:E32)=D$10,F32,D$10-SUM(E$17:E32))</f>
        <v>2244096.9225078034</v>
      </c>
      <c r="E33" s="485">
        <f>IF(+I14&lt;F32,I14,D33)</f>
        <v>73461.491999999998</v>
      </c>
      <c r="F33" s="486">
        <f t="shared" si="13"/>
        <v>2170635.4305078033</v>
      </c>
      <c r="G33" s="487">
        <f t="shared" si="14"/>
        <v>367225.49199999997</v>
      </c>
      <c r="H33" s="456">
        <f t="shared" si="15"/>
        <v>367225.49199999997</v>
      </c>
      <c r="I33" s="476">
        <f t="shared" si="0"/>
        <v>0</v>
      </c>
      <c r="J33" s="476"/>
      <c r="K33" s="488"/>
      <c r="L33" s="479">
        <f t="shared" si="2"/>
        <v>0</v>
      </c>
      <c r="M33" s="488"/>
      <c r="N33" s="479">
        <f t="shared" si="4"/>
        <v>0</v>
      </c>
      <c r="O33" s="479">
        <f t="shared" si="5"/>
        <v>0</v>
      </c>
      <c r="P33" s="243"/>
    </row>
    <row r="34" spans="2:16" ht="12.5">
      <c r="B34" s="160" t="str">
        <f t="shared" si="6"/>
        <v/>
      </c>
      <c r="C34" s="473">
        <f>IF(D11="","-",+C33+1)</f>
        <v>2029</v>
      </c>
      <c r="D34" s="486">
        <f>IF(F33+SUM(E$17:E33)=D$10,F33,D$10-SUM(E$17:E33))</f>
        <v>2170635.4305078033</v>
      </c>
      <c r="E34" s="485">
        <f>IF(+I14&lt;F33,I14,D34)</f>
        <v>73461.491999999998</v>
      </c>
      <c r="F34" s="486">
        <f t="shared" si="13"/>
        <v>2097173.9385078033</v>
      </c>
      <c r="G34" s="487">
        <f t="shared" si="14"/>
        <v>357283.49199999997</v>
      </c>
      <c r="H34" s="456">
        <f t="shared" si="15"/>
        <v>357283.49199999997</v>
      </c>
      <c r="I34" s="476">
        <f t="shared" si="0"/>
        <v>0</v>
      </c>
      <c r="J34" s="476"/>
      <c r="K34" s="488"/>
      <c r="L34" s="479">
        <f t="shared" si="2"/>
        <v>0</v>
      </c>
      <c r="M34" s="488"/>
      <c r="N34" s="479">
        <f t="shared" si="4"/>
        <v>0</v>
      </c>
      <c r="O34" s="479">
        <f t="shared" si="5"/>
        <v>0</v>
      </c>
      <c r="P34" s="243"/>
    </row>
    <row r="35" spans="2:16" ht="12.5">
      <c r="B35" s="160" t="str">
        <f t="shared" si="6"/>
        <v/>
      </c>
      <c r="C35" s="473">
        <f>IF(D11="","-",+C34+1)</f>
        <v>2030</v>
      </c>
      <c r="D35" s="486">
        <f>IF(F34+SUM(E$17:E34)=D$10,F34,D$10-SUM(E$17:E34))</f>
        <v>2097173.9385078033</v>
      </c>
      <c r="E35" s="485">
        <f>IF(+I14&lt;F34,I14,D35)</f>
        <v>73461.491999999998</v>
      </c>
      <c r="F35" s="486">
        <f t="shared" si="13"/>
        <v>2023712.4465078032</v>
      </c>
      <c r="G35" s="487">
        <f t="shared" si="14"/>
        <v>347341.49199999997</v>
      </c>
      <c r="H35" s="456">
        <f t="shared" si="15"/>
        <v>347341.49199999997</v>
      </c>
      <c r="I35" s="476">
        <f t="shared" si="0"/>
        <v>0</v>
      </c>
      <c r="J35" s="476"/>
      <c r="K35" s="488"/>
      <c r="L35" s="479">
        <f t="shared" si="2"/>
        <v>0</v>
      </c>
      <c r="M35" s="488"/>
      <c r="N35" s="479">
        <f t="shared" si="4"/>
        <v>0</v>
      </c>
      <c r="O35" s="479">
        <f t="shared" si="5"/>
        <v>0</v>
      </c>
      <c r="P35" s="243"/>
    </row>
    <row r="36" spans="2:16" ht="12.5">
      <c r="B36" s="160" t="str">
        <f t="shared" si="6"/>
        <v/>
      </c>
      <c r="C36" s="473">
        <f>IF(D11="","-",+C35+1)</f>
        <v>2031</v>
      </c>
      <c r="D36" s="486">
        <f>IF(F35+SUM(E$17:E35)=D$10,F35,D$10-SUM(E$17:E35))</f>
        <v>2023712.4465078032</v>
      </c>
      <c r="E36" s="485">
        <f>IF(+I14&lt;F35,I14,D36)</f>
        <v>73461.491999999998</v>
      </c>
      <c r="F36" s="486">
        <f t="shared" si="13"/>
        <v>1950250.9545078031</v>
      </c>
      <c r="G36" s="487">
        <f t="shared" si="14"/>
        <v>337399.49199999997</v>
      </c>
      <c r="H36" s="456">
        <f t="shared" si="15"/>
        <v>337399.49199999997</v>
      </c>
      <c r="I36" s="476">
        <f t="shared" si="0"/>
        <v>0</v>
      </c>
      <c r="J36" s="476"/>
      <c r="K36" s="488"/>
      <c r="L36" s="479">
        <f t="shared" si="2"/>
        <v>0</v>
      </c>
      <c r="M36" s="488"/>
      <c r="N36" s="479">
        <f t="shared" si="4"/>
        <v>0</v>
      </c>
      <c r="O36" s="479">
        <f t="shared" si="5"/>
        <v>0</v>
      </c>
      <c r="P36" s="243"/>
    </row>
    <row r="37" spans="2:16" ht="12.5">
      <c r="B37" s="160" t="str">
        <f t="shared" si="6"/>
        <v/>
      </c>
      <c r="C37" s="473">
        <f>IF(D11="","-",+C36+1)</f>
        <v>2032</v>
      </c>
      <c r="D37" s="486">
        <f>IF(F36+SUM(E$17:E36)=D$10,F36,D$10-SUM(E$17:E36))</f>
        <v>1950250.9545078031</v>
      </c>
      <c r="E37" s="485">
        <f>IF(+I14&lt;F36,I14,D37)</f>
        <v>73461.491999999998</v>
      </c>
      <c r="F37" s="486">
        <f t="shared" si="13"/>
        <v>1876789.462507803</v>
      </c>
      <c r="G37" s="487">
        <f t="shared" si="14"/>
        <v>327457.49199999997</v>
      </c>
      <c r="H37" s="456">
        <f t="shared" si="15"/>
        <v>327457.49199999997</v>
      </c>
      <c r="I37" s="476">
        <f t="shared" si="0"/>
        <v>0</v>
      </c>
      <c r="J37" s="476"/>
      <c r="K37" s="488"/>
      <c r="L37" s="479">
        <f t="shared" si="2"/>
        <v>0</v>
      </c>
      <c r="M37" s="488"/>
      <c r="N37" s="479">
        <f t="shared" si="4"/>
        <v>0</v>
      </c>
      <c r="O37" s="479">
        <f t="shared" si="5"/>
        <v>0</v>
      </c>
      <c r="P37" s="243"/>
    </row>
    <row r="38" spans="2:16" ht="12.5">
      <c r="B38" s="160" t="str">
        <f t="shared" si="6"/>
        <v/>
      </c>
      <c r="C38" s="473">
        <f>IF(D11="","-",+C37+1)</f>
        <v>2033</v>
      </c>
      <c r="D38" s="486">
        <f>IF(F37+SUM(E$17:E37)=D$10,F37,D$10-SUM(E$17:E37))</f>
        <v>1876789.462507803</v>
      </c>
      <c r="E38" s="485">
        <f>IF(+I14&lt;F37,I14,D38)</f>
        <v>73461.491999999998</v>
      </c>
      <c r="F38" s="486">
        <f t="shared" si="13"/>
        <v>1803327.9705078029</v>
      </c>
      <c r="G38" s="487">
        <f t="shared" si="14"/>
        <v>317515.49199999997</v>
      </c>
      <c r="H38" s="456">
        <f t="shared" si="15"/>
        <v>317515.49199999997</v>
      </c>
      <c r="I38" s="476">
        <f t="shared" si="0"/>
        <v>0</v>
      </c>
      <c r="J38" s="476"/>
      <c r="K38" s="488"/>
      <c r="L38" s="479">
        <f t="shared" si="2"/>
        <v>0</v>
      </c>
      <c r="M38" s="488"/>
      <c r="N38" s="479">
        <f t="shared" si="4"/>
        <v>0</v>
      </c>
      <c r="O38" s="479">
        <f t="shared" si="5"/>
        <v>0</v>
      </c>
      <c r="P38" s="243"/>
    </row>
    <row r="39" spans="2:16" ht="12.5">
      <c r="B39" s="160" t="str">
        <f t="shared" si="6"/>
        <v/>
      </c>
      <c r="C39" s="473">
        <f>IF(D11="","-",+C38+1)</f>
        <v>2034</v>
      </c>
      <c r="D39" s="486">
        <f>IF(F38+SUM(E$17:E38)=D$10,F38,D$10-SUM(E$17:E38))</f>
        <v>1803327.9705078029</v>
      </c>
      <c r="E39" s="485">
        <f>IF(+I14&lt;F38,I14,D39)</f>
        <v>73461.491999999998</v>
      </c>
      <c r="F39" s="486">
        <f t="shared" si="13"/>
        <v>1729866.4785078028</v>
      </c>
      <c r="G39" s="487">
        <f t="shared" si="14"/>
        <v>307573.49199999997</v>
      </c>
      <c r="H39" s="456">
        <f t="shared" si="15"/>
        <v>307573.49199999997</v>
      </c>
      <c r="I39" s="476">
        <f t="shared" si="0"/>
        <v>0</v>
      </c>
      <c r="J39" s="476"/>
      <c r="K39" s="488"/>
      <c r="L39" s="479">
        <f t="shared" si="2"/>
        <v>0</v>
      </c>
      <c r="M39" s="488"/>
      <c r="N39" s="479">
        <f t="shared" si="4"/>
        <v>0</v>
      </c>
      <c r="O39" s="479">
        <f t="shared" si="5"/>
        <v>0</v>
      </c>
      <c r="P39" s="243"/>
    </row>
    <row r="40" spans="2:16" ht="12.5">
      <c r="B40" s="160" t="str">
        <f t="shared" si="6"/>
        <v/>
      </c>
      <c r="C40" s="473">
        <f>IF(D11="","-",+C39+1)</f>
        <v>2035</v>
      </c>
      <c r="D40" s="486">
        <f>IF(F39+SUM(E$17:E39)=D$10,F39,D$10-SUM(E$17:E39))</f>
        <v>1729866.4785078028</v>
      </c>
      <c r="E40" s="485">
        <f>IF(+I14&lt;F39,I14,D40)</f>
        <v>73461.491999999998</v>
      </c>
      <c r="F40" s="486">
        <f t="shared" si="13"/>
        <v>1656404.9865078027</v>
      </c>
      <c r="G40" s="487">
        <f t="shared" si="14"/>
        <v>297631.49199999997</v>
      </c>
      <c r="H40" s="456">
        <f t="shared" si="15"/>
        <v>297631.49199999997</v>
      </c>
      <c r="I40" s="476">
        <f t="shared" si="0"/>
        <v>0</v>
      </c>
      <c r="J40" s="476"/>
      <c r="K40" s="488"/>
      <c r="L40" s="479">
        <f t="shared" si="2"/>
        <v>0</v>
      </c>
      <c r="M40" s="488"/>
      <c r="N40" s="479">
        <f t="shared" si="4"/>
        <v>0</v>
      </c>
      <c r="O40" s="479">
        <f t="shared" si="5"/>
        <v>0</v>
      </c>
      <c r="P40" s="243"/>
    </row>
    <row r="41" spans="2:16" ht="12.5">
      <c r="B41" s="160" t="str">
        <f t="shared" si="6"/>
        <v/>
      </c>
      <c r="C41" s="473">
        <f>IF(D11="","-",+C40+1)</f>
        <v>2036</v>
      </c>
      <c r="D41" s="486">
        <f>IF(F40+SUM(E$17:E40)=D$10,F40,D$10-SUM(E$17:E40))</f>
        <v>1656404.9865078027</v>
      </c>
      <c r="E41" s="485">
        <f>IF(+I14&lt;F40,I14,D41)</f>
        <v>73461.491999999998</v>
      </c>
      <c r="F41" s="486">
        <f t="shared" si="13"/>
        <v>1582943.4945078027</v>
      </c>
      <c r="G41" s="487">
        <f t="shared" si="14"/>
        <v>287689.49199999997</v>
      </c>
      <c r="H41" s="456">
        <f t="shared" si="15"/>
        <v>287689.49199999997</v>
      </c>
      <c r="I41" s="476">
        <f t="shared" si="0"/>
        <v>0</v>
      </c>
      <c r="J41" s="476"/>
      <c r="K41" s="488"/>
      <c r="L41" s="479">
        <f t="shared" si="2"/>
        <v>0</v>
      </c>
      <c r="M41" s="488"/>
      <c r="N41" s="479">
        <f t="shared" si="4"/>
        <v>0</v>
      </c>
      <c r="O41" s="479">
        <f t="shared" si="5"/>
        <v>0</v>
      </c>
      <c r="P41" s="243"/>
    </row>
    <row r="42" spans="2:16" ht="12.5">
      <c r="B42" s="160" t="str">
        <f t="shared" si="6"/>
        <v/>
      </c>
      <c r="C42" s="473">
        <f>IF(D11="","-",+C41+1)</f>
        <v>2037</v>
      </c>
      <c r="D42" s="486">
        <f>IF(F41+SUM(E$17:E41)=D$10,F41,D$10-SUM(E$17:E41))</f>
        <v>1582943.4945078027</v>
      </c>
      <c r="E42" s="485">
        <f>IF(+I14&lt;F41,I14,D42)</f>
        <v>73461.491999999998</v>
      </c>
      <c r="F42" s="486">
        <f t="shared" si="13"/>
        <v>1509482.0025078026</v>
      </c>
      <c r="G42" s="487">
        <f t="shared" si="14"/>
        <v>277747.49199999997</v>
      </c>
      <c r="H42" s="456">
        <f t="shared" si="15"/>
        <v>277747.49199999997</v>
      </c>
      <c r="I42" s="476">
        <f t="shared" si="0"/>
        <v>0</v>
      </c>
      <c r="J42" s="476"/>
      <c r="K42" s="488"/>
      <c r="L42" s="479">
        <f t="shared" si="2"/>
        <v>0</v>
      </c>
      <c r="M42" s="488"/>
      <c r="N42" s="479">
        <f t="shared" si="4"/>
        <v>0</v>
      </c>
      <c r="O42" s="479">
        <f t="shared" si="5"/>
        <v>0</v>
      </c>
      <c r="P42" s="243"/>
    </row>
    <row r="43" spans="2:16" ht="12.5">
      <c r="B43" s="160" t="str">
        <f t="shared" si="6"/>
        <v/>
      </c>
      <c r="C43" s="473">
        <f>IF(D11="","-",+C42+1)</f>
        <v>2038</v>
      </c>
      <c r="D43" s="486">
        <f>IF(F42+SUM(E$17:E42)=D$10,F42,D$10-SUM(E$17:E42))</f>
        <v>1509482.0025078026</v>
      </c>
      <c r="E43" s="485">
        <f>IF(+I14&lt;F42,I14,D43)</f>
        <v>73461.491999999998</v>
      </c>
      <c r="F43" s="486">
        <f t="shared" si="13"/>
        <v>1436020.5105078025</v>
      </c>
      <c r="G43" s="487">
        <f t="shared" si="14"/>
        <v>267805.49199999997</v>
      </c>
      <c r="H43" s="456">
        <f t="shared" si="15"/>
        <v>267805.49199999997</v>
      </c>
      <c r="I43" s="476">
        <f t="shared" si="0"/>
        <v>0</v>
      </c>
      <c r="J43" s="476"/>
      <c r="K43" s="488"/>
      <c r="L43" s="479">
        <f t="shared" si="2"/>
        <v>0</v>
      </c>
      <c r="M43" s="488"/>
      <c r="N43" s="479">
        <f t="shared" si="4"/>
        <v>0</v>
      </c>
      <c r="O43" s="479">
        <f t="shared" si="5"/>
        <v>0</v>
      </c>
      <c r="P43" s="243"/>
    </row>
    <row r="44" spans="2:16" ht="12.5">
      <c r="B44" s="160" t="str">
        <f t="shared" si="6"/>
        <v/>
      </c>
      <c r="C44" s="473">
        <f>IF(D11="","-",+C43+1)</f>
        <v>2039</v>
      </c>
      <c r="D44" s="486">
        <f>IF(F43+SUM(E$17:E43)=D$10,F43,D$10-SUM(E$17:E43))</f>
        <v>1436020.5105078025</v>
      </c>
      <c r="E44" s="485">
        <f>IF(+I14&lt;F43,I14,D44)</f>
        <v>73461.491999999998</v>
      </c>
      <c r="F44" s="486">
        <f t="shared" si="13"/>
        <v>1362559.0185078024</v>
      </c>
      <c r="G44" s="487">
        <f t="shared" si="14"/>
        <v>257863.492</v>
      </c>
      <c r="H44" s="456">
        <f t="shared" si="15"/>
        <v>257863.492</v>
      </c>
      <c r="I44" s="476">
        <f t="shared" si="0"/>
        <v>0</v>
      </c>
      <c r="J44" s="476"/>
      <c r="K44" s="488"/>
      <c r="L44" s="479">
        <f t="shared" si="2"/>
        <v>0</v>
      </c>
      <c r="M44" s="488"/>
      <c r="N44" s="479">
        <f t="shared" si="4"/>
        <v>0</v>
      </c>
      <c r="O44" s="479">
        <f t="shared" si="5"/>
        <v>0</v>
      </c>
      <c r="P44" s="243"/>
    </row>
    <row r="45" spans="2:16" ht="12.5">
      <c r="B45" s="160" t="str">
        <f t="shared" si="6"/>
        <v/>
      </c>
      <c r="C45" s="473">
        <f>IF(D11="","-",+C44+1)</f>
        <v>2040</v>
      </c>
      <c r="D45" s="486">
        <f>IF(F44+SUM(E$17:E44)=D$10,F44,D$10-SUM(E$17:E44))</f>
        <v>1362559.0185078024</v>
      </c>
      <c r="E45" s="485">
        <f>IF(+I14&lt;F44,I14,D45)</f>
        <v>73461.491999999998</v>
      </c>
      <c r="F45" s="486">
        <f t="shared" si="13"/>
        <v>1289097.5265078023</v>
      </c>
      <c r="G45" s="487">
        <f t="shared" si="14"/>
        <v>247922.492</v>
      </c>
      <c r="H45" s="456">
        <f t="shared" si="15"/>
        <v>247922.492</v>
      </c>
      <c r="I45" s="476">
        <f t="shared" si="0"/>
        <v>0</v>
      </c>
      <c r="J45" s="476"/>
      <c r="K45" s="488"/>
      <c r="L45" s="479">
        <f t="shared" si="2"/>
        <v>0</v>
      </c>
      <c r="M45" s="488"/>
      <c r="N45" s="479">
        <f t="shared" si="4"/>
        <v>0</v>
      </c>
      <c r="O45" s="479">
        <f t="shared" si="5"/>
        <v>0</v>
      </c>
      <c r="P45" s="243"/>
    </row>
    <row r="46" spans="2:16" ht="12.5">
      <c r="B46" s="160" t="str">
        <f t="shared" si="6"/>
        <v/>
      </c>
      <c r="C46" s="473">
        <f>IF(D11="","-",+C45+1)</f>
        <v>2041</v>
      </c>
      <c r="D46" s="486">
        <f>IF(F45+SUM(E$17:E45)=D$10,F45,D$10-SUM(E$17:E45))</f>
        <v>1289097.5265078023</v>
      </c>
      <c r="E46" s="485">
        <f>IF(+I14&lt;F45,I14,D46)</f>
        <v>73461.491999999998</v>
      </c>
      <c r="F46" s="486">
        <f t="shared" si="13"/>
        <v>1215636.0345078022</v>
      </c>
      <c r="G46" s="487">
        <f t="shared" si="14"/>
        <v>237980.492</v>
      </c>
      <c r="H46" s="456">
        <f t="shared" si="15"/>
        <v>237980.492</v>
      </c>
      <c r="I46" s="476">
        <f t="shared" si="0"/>
        <v>0</v>
      </c>
      <c r="J46" s="476"/>
      <c r="K46" s="488"/>
      <c r="L46" s="479">
        <f t="shared" si="2"/>
        <v>0</v>
      </c>
      <c r="M46" s="488"/>
      <c r="N46" s="479">
        <f t="shared" si="4"/>
        <v>0</v>
      </c>
      <c r="O46" s="479">
        <f t="shared" si="5"/>
        <v>0</v>
      </c>
      <c r="P46" s="243"/>
    </row>
    <row r="47" spans="2:16" ht="12.5">
      <c r="B47" s="160" t="str">
        <f t="shared" si="6"/>
        <v/>
      </c>
      <c r="C47" s="473">
        <f>IF(D11="","-",+C46+1)</f>
        <v>2042</v>
      </c>
      <c r="D47" s="486">
        <f>IF(F46+SUM(E$17:E46)=D$10,F46,D$10-SUM(E$17:E46))</f>
        <v>1215636.0345078022</v>
      </c>
      <c r="E47" s="485">
        <f>IF(+I14&lt;F46,I14,D47)</f>
        <v>73461.491999999998</v>
      </c>
      <c r="F47" s="486">
        <f t="shared" si="13"/>
        <v>1142174.5425078021</v>
      </c>
      <c r="G47" s="487">
        <f t="shared" si="14"/>
        <v>228038.492</v>
      </c>
      <c r="H47" s="456">
        <f t="shared" si="15"/>
        <v>228038.492</v>
      </c>
      <c r="I47" s="476">
        <f t="shared" si="0"/>
        <v>0</v>
      </c>
      <c r="J47" s="476"/>
      <c r="K47" s="488"/>
      <c r="L47" s="479">
        <f t="shared" si="2"/>
        <v>0</v>
      </c>
      <c r="M47" s="488"/>
      <c r="N47" s="479">
        <f t="shared" si="4"/>
        <v>0</v>
      </c>
      <c r="O47" s="479">
        <f t="shared" si="5"/>
        <v>0</v>
      </c>
      <c r="P47" s="243"/>
    </row>
    <row r="48" spans="2:16" ht="12.5">
      <c r="B48" s="160" t="str">
        <f t="shared" si="6"/>
        <v/>
      </c>
      <c r="C48" s="473">
        <f>IF(D11="","-",+C47+1)</f>
        <v>2043</v>
      </c>
      <c r="D48" s="486">
        <f>IF(F47+SUM(E$17:E47)=D$10,F47,D$10-SUM(E$17:E47))</f>
        <v>1142174.5425078021</v>
      </c>
      <c r="E48" s="485">
        <f>IF(+I14&lt;F47,I14,D48)</f>
        <v>73461.491999999998</v>
      </c>
      <c r="F48" s="486">
        <f t="shared" si="13"/>
        <v>1068713.0505078021</v>
      </c>
      <c r="G48" s="487">
        <f t="shared" si="14"/>
        <v>218096.492</v>
      </c>
      <c r="H48" s="456">
        <f t="shared" si="15"/>
        <v>218096.492</v>
      </c>
      <c r="I48" s="476">
        <f t="shared" si="0"/>
        <v>0</v>
      </c>
      <c r="J48" s="476"/>
      <c r="K48" s="488"/>
      <c r="L48" s="479">
        <f t="shared" si="2"/>
        <v>0</v>
      </c>
      <c r="M48" s="488"/>
      <c r="N48" s="479">
        <f t="shared" si="4"/>
        <v>0</v>
      </c>
      <c r="O48" s="479">
        <f t="shared" si="5"/>
        <v>0</v>
      </c>
      <c r="P48" s="243"/>
    </row>
    <row r="49" spans="2:16" ht="12.5">
      <c r="B49" s="160" t="str">
        <f t="shared" si="6"/>
        <v/>
      </c>
      <c r="C49" s="473">
        <f>IF(D11="","-",+C48+1)</f>
        <v>2044</v>
      </c>
      <c r="D49" s="486">
        <f>IF(F48+SUM(E$17:E48)=D$10,F48,D$10-SUM(E$17:E48))</f>
        <v>1068713.0505078021</v>
      </c>
      <c r="E49" s="485">
        <f>IF(+I14&lt;F48,I14,D49)</f>
        <v>73461.491999999998</v>
      </c>
      <c r="F49" s="486">
        <f t="shared" ref="F49:F72" si="16">+D49-E49</f>
        <v>995251.55850780208</v>
      </c>
      <c r="G49" s="487">
        <f t="shared" si="14"/>
        <v>208154.492</v>
      </c>
      <c r="H49" s="456">
        <f t="shared" si="15"/>
        <v>208154.492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ref="B50:B72" si="21">IF(D50=F49,"","IU")</f>
        <v/>
      </c>
      <c r="C50" s="473">
        <f>IF(D11="","-",+C49+1)</f>
        <v>2045</v>
      </c>
      <c r="D50" s="486">
        <f>IF(F49+SUM(E$17:E49)=D$10,F49,D$10-SUM(E$17:E49))</f>
        <v>995251.55850780208</v>
      </c>
      <c r="E50" s="485">
        <f>IF(+I14&lt;F49,I14,D50)</f>
        <v>73461.491999999998</v>
      </c>
      <c r="F50" s="486">
        <f t="shared" si="16"/>
        <v>921790.06650780211</v>
      </c>
      <c r="G50" s="487">
        <f t="shared" ref="G50:G72" si="22">ROUND(I$12*F50,0)+E50</f>
        <v>198212.492</v>
      </c>
      <c r="H50" s="456">
        <f t="shared" ref="H50:H72" si="23">ROUND(I$13*F50,0)+E50</f>
        <v>198212.492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21"/>
        <v/>
      </c>
      <c r="C51" s="473">
        <f>IF(D11="","-",+C50+1)</f>
        <v>2046</v>
      </c>
      <c r="D51" s="486">
        <f>IF(F50+SUM(E$17:E50)=D$10,F50,D$10-SUM(E$17:E50))</f>
        <v>921790.06650780211</v>
      </c>
      <c r="E51" s="485">
        <f>IF(+I14&lt;F50,I14,D51)</f>
        <v>73461.491999999998</v>
      </c>
      <c r="F51" s="486">
        <f t="shared" si="16"/>
        <v>848328.57450780214</v>
      </c>
      <c r="G51" s="487">
        <f t="shared" si="22"/>
        <v>188270.492</v>
      </c>
      <c r="H51" s="456">
        <f t="shared" si="23"/>
        <v>188270.492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21"/>
        <v/>
      </c>
      <c r="C52" s="473">
        <f>IF(D11="","-",+C51+1)</f>
        <v>2047</v>
      </c>
      <c r="D52" s="486">
        <f>IF(F51+SUM(E$17:E51)=D$10,F51,D$10-SUM(E$17:E51))</f>
        <v>848328.57450780214</v>
      </c>
      <c r="E52" s="485">
        <f>IF(+I14&lt;F51,I14,D52)</f>
        <v>73461.491999999998</v>
      </c>
      <c r="F52" s="486">
        <f t="shared" si="16"/>
        <v>774867.08250780217</v>
      </c>
      <c r="G52" s="487">
        <f t="shared" si="22"/>
        <v>178328.492</v>
      </c>
      <c r="H52" s="456">
        <f t="shared" si="23"/>
        <v>178328.492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21"/>
        <v/>
      </c>
      <c r="C53" s="473">
        <f>IF(D11="","-",+C52+1)</f>
        <v>2048</v>
      </c>
      <c r="D53" s="486">
        <f>IF(F52+SUM(E$17:E52)=D$10,F52,D$10-SUM(E$17:E52))</f>
        <v>774867.08250780217</v>
      </c>
      <c r="E53" s="485">
        <f>IF(+I14&lt;F52,I14,D53)</f>
        <v>73461.491999999998</v>
      </c>
      <c r="F53" s="486">
        <f t="shared" si="16"/>
        <v>701405.5905078022</v>
      </c>
      <c r="G53" s="487">
        <f t="shared" si="22"/>
        <v>168386.492</v>
      </c>
      <c r="H53" s="456">
        <f t="shared" si="23"/>
        <v>168386.492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21"/>
        <v/>
      </c>
      <c r="C54" s="473">
        <f>IF(D11="","-",+C53+1)</f>
        <v>2049</v>
      </c>
      <c r="D54" s="486">
        <f>IF(F53+SUM(E$17:E53)=D$10,F53,D$10-SUM(E$17:E53))</f>
        <v>701405.5905078022</v>
      </c>
      <c r="E54" s="485">
        <f>IF(+I14&lt;F53,I14,D54)</f>
        <v>73461.491999999998</v>
      </c>
      <c r="F54" s="486">
        <f t="shared" si="16"/>
        <v>627944.09850780223</v>
      </c>
      <c r="G54" s="487">
        <f t="shared" si="22"/>
        <v>158444.492</v>
      </c>
      <c r="H54" s="456">
        <f t="shared" si="23"/>
        <v>158444.492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21"/>
        <v/>
      </c>
      <c r="C55" s="473">
        <f>IF(D11="","-",+C54+1)</f>
        <v>2050</v>
      </c>
      <c r="D55" s="486">
        <f>IF(F54+SUM(E$17:E54)=D$10,F54,D$10-SUM(E$17:E54))</f>
        <v>627944.09850780223</v>
      </c>
      <c r="E55" s="485">
        <f>IF(+I14&lt;F54,I14,D55)</f>
        <v>73461.491999999998</v>
      </c>
      <c r="F55" s="486">
        <f t="shared" si="16"/>
        <v>554482.60650780227</v>
      </c>
      <c r="G55" s="487">
        <f t="shared" si="22"/>
        <v>148502.492</v>
      </c>
      <c r="H55" s="456">
        <f t="shared" si="23"/>
        <v>148502.492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21"/>
        <v/>
      </c>
      <c r="C56" s="473">
        <f>IF(D11="","-",+C55+1)</f>
        <v>2051</v>
      </c>
      <c r="D56" s="486">
        <f>IF(F55+SUM(E$17:E55)=D$10,F55,D$10-SUM(E$17:E55))</f>
        <v>554482.60650780227</v>
      </c>
      <c r="E56" s="485">
        <f>IF(+I14&lt;F55,I14,D56)</f>
        <v>73461.491999999998</v>
      </c>
      <c r="F56" s="486">
        <f t="shared" si="16"/>
        <v>481021.1145078023</v>
      </c>
      <c r="G56" s="487">
        <f t="shared" si="22"/>
        <v>138560.492</v>
      </c>
      <c r="H56" s="456">
        <f t="shared" si="23"/>
        <v>138560.492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21"/>
        <v/>
      </c>
      <c r="C57" s="473">
        <f>IF(D11="","-",+C56+1)</f>
        <v>2052</v>
      </c>
      <c r="D57" s="486">
        <f>IF(F56+SUM(E$17:E56)=D$10,F56,D$10-SUM(E$17:E56))</f>
        <v>481021.1145078023</v>
      </c>
      <c r="E57" s="485">
        <f>IF(+I14&lt;F56,I14,D57)</f>
        <v>73461.491999999998</v>
      </c>
      <c r="F57" s="486">
        <f t="shared" si="16"/>
        <v>407559.62250780233</v>
      </c>
      <c r="G57" s="487">
        <f t="shared" si="22"/>
        <v>128618.492</v>
      </c>
      <c r="H57" s="456">
        <f t="shared" si="23"/>
        <v>128618.492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21"/>
        <v/>
      </c>
      <c r="C58" s="473">
        <f>IF(D11="","-",+C57+1)</f>
        <v>2053</v>
      </c>
      <c r="D58" s="486">
        <f>IF(F57+SUM(E$17:E57)=D$10,F57,D$10-SUM(E$17:E57))</f>
        <v>407559.62250780233</v>
      </c>
      <c r="E58" s="485">
        <f>IF(+I14&lt;F57,I14,D58)</f>
        <v>73461.491999999998</v>
      </c>
      <c r="F58" s="486">
        <f t="shared" si="16"/>
        <v>334098.13050780236</v>
      </c>
      <c r="G58" s="487">
        <f t="shared" si="22"/>
        <v>118676.492</v>
      </c>
      <c r="H58" s="456">
        <f t="shared" si="23"/>
        <v>118676.492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21"/>
        <v/>
      </c>
      <c r="C59" s="473">
        <f>IF(D11="","-",+C58+1)</f>
        <v>2054</v>
      </c>
      <c r="D59" s="486">
        <f>IF(F58+SUM(E$17:E58)=D$10,F58,D$10-SUM(E$17:E58))</f>
        <v>334098.13050780236</v>
      </c>
      <c r="E59" s="485">
        <f>IF(+I14&lt;F58,I14,D59)</f>
        <v>73461.491999999998</v>
      </c>
      <c r="F59" s="486">
        <f t="shared" si="16"/>
        <v>260636.63850780236</v>
      </c>
      <c r="G59" s="487">
        <f t="shared" si="22"/>
        <v>108734.492</v>
      </c>
      <c r="H59" s="456">
        <f t="shared" si="23"/>
        <v>108734.492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21"/>
        <v/>
      </c>
      <c r="C60" s="473">
        <f>IF(D11="","-",+C59+1)</f>
        <v>2055</v>
      </c>
      <c r="D60" s="486">
        <f>IF(F59+SUM(E$17:E59)=D$10,F59,D$10-SUM(E$17:E59))</f>
        <v>260636.63850780236</v>
      </c>
      <c r="E60" s="485">
        <f>IF(+I14&lt;F59,I14,D60)</f>
        <v>73461.491999999998</v>
      </c>
      <c r="F60" s="486">
        <f t="shared" si="16"/>
        <v>187175.14650780236</v>
      </c>
      <c r="G60" s="487">
        <f t="shared" si="22"/>
        <v>98792.491999999998</v>
      </c>
      <c r="H60" s="456">
        <f t="shared" si="23"/>
        <v>98792.491999999998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21"/>
        <v/>
      </c>
      <c r="C61" s="473">
        <f>IF(D11="","-",+C60+1)</f>
        <v>2056</v>
      </c>
      <c r="D61" s="486">
        <f>IF(F60+SUM(E$17:E60)=D$10,F60,D$10-SUM(E$17:E60))</f>
        <v>187175.14650780236</v>
      </c>
      <c r="E61" s="485">
        <f>IF(+I14&lt;F60,I14,D61)</f>
        <v>73461.491999999998</v>
      </c>
      <c r="F61" s="486">
        <f t="shared" si="16"/>
        <v>113713.65450780236</v>
      </c>
      <c r="G61" s="489">
        <f t="shared" si="22"/>
        <v>88850.491999999998</v>
      </c>
      <c r="H61" s="456">
        <f t="shared" si="23"/>
        <v>88850.491999999998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21"/>
        <v/>
      </c>
      <c r="C62" s="473">
        <f>IF(D11="","-",+C61+1)</f>
        <v>2057</v>
      </c>
      <c r="D62" s="486">
        <f>IF(F61+SUM(E$17:E61)=D$10,F61,D$10-SUM(E$17:E61))</f>
        <v>113713.65450780236</v>
      </c>
      <c r="E62" s="485">
        <f>IF(+I14&lt;F61,I14,D62)</f>
        <v>73461.491999999998</v>
      </c>
      <c r="F62" s="486">
        <f t="shared" si="16"/>
        <v>40252.162507802364</v>
      </c>
      <c r="G62" s="489">
        <f t="shared" si="22"/>
        <v>78909.491999999998</v>
      </c>
      <c r="H62" s="456">
        <f t="shared" si="23"/>
        <v>78909.491999999998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21"/>
        <v/>
      </c>
      <c r="C63" s="473">
        <f>IF(D11="","-",+C62+1)</f>
        <v>2058</v>
      </c>
      <c r="D63" s="486">
        <f>IF(F62+SUM(E$17:E62)=D$10,F62,D$10-SUM(E$17:E62))</f>
        <v>40252.162507802364</v>
      </c>
      <c r="E63" s="485">
        <f>IF(+I14&lt;F62,I14,D63)</f>
        <v>40252.162507802364</v>
      </c>
      <c r="F63" s="486">
        <f t="shared" si="16"/>
        <v>0</v>
      </c>
      <c r="G63" s="489">
        <f t="shared" si="22"/>
        <v>40252.162507802364</v>
      </c>
      <c r="H63" s="456">
        <f t="shared" si="23"/>
        <v>40252.162507802364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21"/>
        <v/>
      </c>
      <c r="C64" s="473">
        <f>IF(D11="","-",+C63+1)</f>
        <v>2059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9">
        <f t="shared" si="22"/>
        <v>0</v>
      </c>
      <c r="H64" s="456">
        <f t="shared" si="23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21"/>
        <v/>
      </c>
      <c r="C65" s="473">
        <f>IF(D11="","-",+C64+1)</f>
        <v>2060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22"/>
        <v>0</v>
      </c>
      <c r="H65" s="456">
        <f t="shared" si="23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21"/>
        <v/>
      </c>
      <c r="C66" s="473">
        <f>IF(D11="","-",+C65+1)</f>
        <v>2061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22"/>
        <v>0</v>
      </c>
      <c r="H66" s="456">
        <f t="shared" si="23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21"/>
        <v/>
      </c>
      <c r="C67" s="473">
        <f>IF(D11="","-",+C66+1)</f>
        <v>2062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22"/>
        <v>0</v>
      </c>
      <c r="H67" s="456">
        <f t="shared" si="23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21"/>
        <v/>
      </c>
      <c r="C68" s="473">
        <f>IF(D11="","-",+C67+1)</f>
        <v>2063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22"/>
        <v>0</v>
      </c>
      <c r="H68" s="456">
        <f t="shared" si="23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21"/>
        <v/>
      </c>
      <c r="C69" s="473">
        <f>IF(D11="","-",+C68+1)</f>
        <v>2064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22"/>
        <v>0</v>
      </c>
      <c r="H69" s="456">
        <f t="shared" si="23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21"/>
        <v/>
      </c>
      <c r="C70" s="473">
        <f>IF(D11="","-",+C69+1)</f>
        <v>2065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22"/>
        <v>0</v>
      </c>
      <c r="H70" s="456">
        <f t="shared" si="23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21"/>
        <v/>
      </c>
      <c r="C71" s="473">
        <f>IF(D11="","-",+C70+1)</f>
        <v>2066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22"/>
        <v>0</v>
      </c>
      <c r="H71" s="456">
        <f t="shared" si="23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21"/>
        <v/>
      </c>
      <c r="C72" s="490">
        <f>IF(D11="","-",+C71+1)</f>
        <v>2067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22"/>
        <v>0</v>
      </c>
      <c r="H72" s="436">
        <f t="shared" si="23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3305767.1400000006</v>
      </c>
      <c r="F73" s="348"/>
      <c r="G73" s="348">
        <f>SUM(G17:G72)</f>
        <v>13360095.734706828</v>
      </c>
      <c r="H73" s="348">
        <f>SUM(H17:H72)</f>
        <v>13360095.734706828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12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403446.06827075174</v>
      </c>
      <c r="N87" s="509">
        <f>IF(J92&lt;D11,0,VLOOKUP(J92,C17:O72,11))</f>
        <v>403446.06827075174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374888.22276719729</v>
      </c>
      <c r="N88" s="513">
        <f>IF(J92&lt;D11,0,VLOOKUP(J92,C99:P154,7))</f>
        <v>374888.22276719729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Canadian River - McAlester City 138 kV Line Conversion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-28557.845503554447</v>
      </c>
      <c r="N89" s="518">
        <f>+N88-N87</f>
        <v>-28557.845503554447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TP2009095-PSO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3305767.14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2012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8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80628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471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2012</v>
      </c>
      <c r="D99" s="579">
        <f>IF(D93=C99,0,D92)</f>
        <v>0</v>
      </c>
      <c r="E99" s="580">
        <v>1616</v>
      </c>
      <c r="F99" s="581">
        <v>502209</v>
      </c>
      <c r="G99" s="582">
        <v>251209</v>
      </c>
      <c r="H99" s="583">
        <v>37753</v>
      </c>
      <c r="I99" s="584">
        <v>37753</v>
      </c>
      <c r="J99" s="479">
        <f t="shared" ref="J99:J130" si="24">+I99-H99</f>
        <v>0</v>
      </c>
      <c r="K99" s="575"/>
      <c r="L99" s="568">
        <f t="shared" ref="L99:L104" si="25">H99</f>
        <v>37753</v>
      </c>
      <c r="M99" s="576">
        <f t="shared" ref="M99:M104" si="26">IF(L99&lt;&gt;0,+H99-L99,0)</f>
        <v>0</v>
      </c>
      <c r="N99" s="568">
        <f t="shared" ref="N99:N104" si="27">I99</f>
        <v>37753</v>
      </c>
      <c r="O99" s="349">
        <f t="shared" ref="O99:O104" si="28">IF(N99&lt;&gt;0,+I99-N99,0)</f>
        <v>0</v>
      </c>
      <c r="P99" s="478">
        <f t="shared" ref="P99:P104" si="29">+O99-M99</f>
        <v>0</v>
      </c>
    </row>
    <row r="100" spans="1:16" ht="12.5">
      <c r="B100" s="160" t="str">
        <f t="shared" ref="B100:B131" si="30">IF(D100=F99,"","IU")</f>
        <v>IU</v>
      </c>
      <c r="C100" s="473">
        <f>IF(D93="","-",+C99+1)</f>
        <v>2013</v>
      </c>
      <c r="D100" s="585">
        <v>3240518</v>
      </c>
      <c r="E100" s="586">
        <v>62349</v>
      </c>
      <c r="F100" s="587">
        <v>3178169</v>
      </c>
      <c r="G100" s="587">
        <v>3209343.5</v>
      </c>
      <c r="H100" s="586">
        <v>524300.60020262119</v>
      </c>
      <c r="I100" s="588">
        <v>524300.60020262119</v>
      </c>
      <c r="J100" s="479">
        <v>0</v>
      </c>
      <c r="K100" s="575"/>
      <c r="L100" s="541">
        <f t="shared" si="25"/>
        <v>524300.60020262119</v>
      </c>
      <c r="M100" s="576">
        <f t="shared" si="26"/>
        <v>0</v>
      </c>
      <c r="N100" s="541">
        <f t="shared" si="27"/>
        <v>524300.60020262119</v>
      </c>
      <c r="O100" s="349">
        <f t="shared" si="28"/>
        <v>0</v>
      </c>
      <c r="P100" s="479">
        <f t="shared" si="29"/>
        <v>0</v>
      </c>
    </row>
    <row r="101" spans="1:16" ht="12.5">
      <c r="B101" s="160" t="str">
        <f t="shared" si="30"/>
        <v>IU</v>
      </c>
      <c r="C101" s="473">
        <f>IF(D93="","-",+C100+1)</f>
        <v>2014</v>
      </c>
      <c r="D101" s="585">
        <v>3241802.14</v>
      </c>
      <c r="E101" s="586">
        <v>63572</v>
      </c>
      <c r="F101" s="587">
        <v>3178230.14</v>
      </c>
      <c r="G101" s="587">
        <v>3210016.14</v>
      </c>
      <c r="H101" s="586">
        <v>514887.14751698606</v>
      </c>
      <c r="I101" s="588">
        <v>514887.14751698606</v>
      </c>
      <c r="J101" s="479">
        <v>0</v>
      </c>
      <c r="K101" s="575"/>
      <c r="L101" s="541">
        <f t="shared" si="25"/>
        <v>514887.14751698606</v>
      </c>
      <c r="M101" s="576">
        <f t="shared" si="26"/>
        <v>0</v>
      </c>
      <c r="N101" s="541">
        <f t="shared" si="27"/>
        <v>514887.14751698606</v>
      </c>
      <c r="O101" s="349">
        <f t="shared" si="28"/>
        <v>0</v>
      </c>
      <c r="P101" s="479">
        <f t="shared" si="29"/>
        <v>0</v>
      </c>
    </row>
    <row r="102" spans="1:16" ht="12.5">
      <c r="B102" s="160" t="str">
        <f t="shared" si="30"/>
        <v/>
      </c>
      <c r="C102" s="473">
        <f>IF(D93="","-",+C101+1)</f>
        <v>2015</v>
      </c>
      <c r="D102" s="585">
        <v>3178230.14</v>
      </c>
      <c r="E102" s="586">
        <v>63572</v>
      </c>
      <c r="F102" s="587">
        <v>3114658.14</v>
      </c>
      <c r="G102" s="587">
        <v>3146444.14</v>
      </c>
      <c r="H102" s="586">
        <v>492879.0042454137</v>
      </c>
      <c r="I102" s="588">
        <v>492879.0042454137</v>
      </c>
      <c r="J102" s="479">
        <f t="shared" si="24"/>
        <v>0</v>
      </c>
      <c r="K102" s="479"/>
      <c r="L102" s="541">
        <f t="shared" si="25"/>
        <v>492879.0042454137</v>
      </c>
      <c r="M102" s="576">
        <f t="shared" si="26"/>
        <v>0</v>
      </c>
      <c r="N102" s="541">
        <f t="shared" si="27"/>
        <v>492879.0042454137</v>
      </c>
      <c r="O102" s="349">
        <f t="shared" si="28"/>
        <v>0</v>
      </c>
      <c r="P102" s="479">
        <f t="shared" si="29"/>
        <v>0</v>
      </c>
    </row>
    <row r="103" spans="1:16" ht="12.5">
      <c r="B103" s="160" t="str">
        <f t="shared" si="30"/>
        <v/>
      </c>
      <c r="C103" s="473">
        <f>IF(D93="","-",+C102+1)</f>
        <v>2016</v>
      </c>
      <c r="D103" s="585">
        <v>3114658.14</v>
      </c>
      <c r="E103" s="586">
        <v>71865</v>
      </c>
      <c r="F103" s="587">
        <v>3042793.14</v>
      </c>
      <c r="G103" s="587">
        <v>3078725.64</v>
      </c>
      <c r="H103" s="586">
        <v>468761.221459263</v>
      </c>
      <c r="I103" s="588">
        <v>468761.221459263</v>
      </c>
      <c r="J103" s="479">
        <f t="shared" si="24"/>
        <v>0</v>
      </c>
      <c r="K103" s="479"/>
      <c r="L103" s="541">
        <f t="shared" si="25"/>
        <v>468761.221459263</v>
      </c>
      <c r="M103" s="576">
        <f t="shared" si="26"/>
        <v>0</v>
      </c>
      <c r="N103" s="541">
        <f t="shared" si="27"/>
        <v>468761.221459263</v>
      </c>
      <c r="O103" s="349">
        <f t="shared" si="28"/>
        <v>0</v>
      </c>
      <c r="P103" s="479">
        <f t="shared" si="29"/>
        <v>0</v>
      </c>
    </row>
    <row r="104" spans="1:16" ht="12.5">
      <c r="B104" s="160" t="str">
        <f t="shared" si="30"/>
        <v/>
      </c>
      <c r="C104" s="473">
        <f>IF(D93="","-",+C103+1)</f>
        <v>2017</v>
      </c>
      <c r="D104" s="585">
        <v>3042793.14</v>
      </c>
      <c r="E104" s="586">
        <v>71865</v>
      </c>
      <c r="F104" s="587">
        <v>2970928.14</v>
      </c>
      <c r="G104" s="587">
        <v>3006860.64</v>
      </c>
      <c r="H104" s="586">
        <v>453292.85398579738</v>
      </c>
      <c r="I104" s="588">
        <v>453292.85398579738</v>
      </c>
      <c r="J104" s="479">
        <f t="shared" si="24"/>
        <v>0</v>
      </c>
      <c r="K104" s="479"/>
      <c r="L104" s="541">
        <f t="shared" si="25"/>
        <v>453292.85398579738</v>
      </c>
      <c r="M104" s="576">
        <f t="shared" si="26"/>
        <v>0</v>
      </c>
      <c r="N104" s="541">
        <f t="shared" si="27"/>
        <v>453292.85398579738</v>
      </c>
      <c r="O104" s="349">
        <f t="shared" si="28"/>
        <v>0</v>
      </c>
      <c r="P104" s="479">
        <f t="shared" si="29"/>
        <v>0</v>
      </c>
    </row>
    <row r="105" spans="1:16" ht="12.5">
      <c r="B105" s="160" t="str">
        <f t="shared" si="30"/>
        <v/>
      </c>
      <c r="C105" s="473">
        <f>IF(D93="","-",+C104+1)</f>
        <v>2018</v>
      </c>
      <c r="D105" s="585">
        <v>2970928.14</v>
      </c>
      <c r="E105" s="586">
        <v>76878</v>
      </c>
      <c r="F105" s="587">
        <v>2894050.14</v>
      </c>
      <c r="G105" s="587">
        <v>2932489.14</v>
      </c>
      <c r="H105" s="586">
        <v>378148.93401168124</v>
      </c>
      <c r="I105" s="588">
        <v>378148.93401168124</v>
      </c>
      <c r="J105" s="479">
        <f t="shared" si="24"/>
        <v>0</v>
      </c>
      <c r="K105" s="479"/>
      <c r="L105" s="541">
        <f t="shared" ref="L105" si="31">H105</f>
        <v>378148.93401168124</v>
      </c>
      <c r="M105" s="576">
        <f t="shared" ref="M105" si="32">IF(L105&lt;&gt;0,+H105-L105,0)</f>
        <v>0</v>
      </c>
      <c r="N105" s="541">
        <f t="shared" ref="N105" si="33">I105</f>
        <v>378148.93401168124</v>
      </c>
      <c r="O105" s="349">
        <f t="shared" ref="O105" si="34">IF(N105&lt;&gt;0,+I105-N105,0)</f>
        <v>0</v>
      </c>
      <c r="P105" s="479">
        <f t="shared" ref="P105" si="35">+O105-M105</f>
        <v>0</v>
      </c>
    </row>
    <row r="106" spans="1:16" ht="12.5">
      <c r="B106" s="160" t="str">
        <f t="shared" si="30"/>
        <v/>
      </c>
      <c r="C106" s="473">
        <f>IF(D93="","-",+C105+1)</f>
        <v>2019</v>
      </c>
      <c r="D106" s="347">
        <f>IF(F105+SUM(E$99:E105)=D$92,F105,D$92-SUM(E$99:E105))</f>
        <v>2894050.14</v>
      </c>
      <c r="E106" s="485">
        <f t="shared" ref="E106:E154" si="36">IF(+J$96&lt;F105,J$96,D106)</f>
        <v>80628</v>
      </c>
      <c r="F106" s="486">
        <f t="shared" ref="F106:F154" si="37">+D106-E106</f>
        <v>2813422.14</v>
      </c>
      <c r="G106" s="486">
        <f t="shared" ref="G106:G154" si="38">+(F106+D106)/2</f>
        <v>2853736.14</v>
      </c>
      <c r="H106" s="489">
        <f t="shared" ref="H106:H130" si="39">+J$94*G106+E106</f>
        <v>374888.22276719729</v>
      </c>
      <c r="I106" s="543">
        <f t="shared" ref="I106:I130" si="40">+J$95*G106+E106</f>
        <v>374888.22276719729</v>
      </c>
      <c r="J106" s="479">
        <f t="shared" si="24"/>
        <v>0</v>
      </c>
      <c r="K106" s="479"/>
      <c r="L106" s="488"/>
      <c r="M106" s="479">
        <f t="shared" ref="M106:M130" si="41">IF(L106&lt;&gt;0,+H106-L106,0)</f>
        <v>0</v>
      </c>
      <c r="N106" s="488"/>
      <c r="O106" s="479">
        <f t="shared" ref="O106:O130" si="42">IF(N106&lt;&gt;0,+I106-N106,0)</f>
        <v>0</v>
      </c>
      <c r="P106" s="479">
        <f t="shared" ref="P106:P130" si="43">+O106-M106</f>
        <v>0</v>
      </c>
    </row>
    <row r="107" spans="1:16" ht="12.5">
      <c r="B107" s="160" t="str">
        <f t="shared" si="30"/>
        <v/>
      </c>
      <c r="C107" s="473">
        <f>IF(D93="","-",+C106+1)</f>
        <v>2020</v>
      </c>
      <c r="D107" s="347">
        <f>IF(F106+SUM(E$99:E106)=D$92,F106,D$92-SUM(E$99:E106))</f>
        <v>2813422.14</v>
      </c>
      <c r="E107" s="487">
        <f t="shared" si="36"/>
        <v>80628</v>
      </c>
      <c r="F107" s="486">
        <f t="shared" si="37"/>
        <v>2732794.14</v>
      </c>
      <c r="G107" s="486">
        <f t="shared" si="38"/>
        <v>2773108.14</v>
      </c>
      <c r="H107" s="489">
        <f t="shared" si="39"/>
        <v>366574.34507236828</v>
      </c>
      <c r="I107" s="543">
        <f t="shared" si="40"/>
        <v>366574.34507236828</v>
      </c>
      <c r="J107" s="479">
        <f t="shared" si="24"/>
        <v>0</v>
      </c>
      <c r="K107" s="479"/>
      <c r="L107" s="488"/>
      <c r="M107" s="479">
        <f t="shared" si="41"/>
        <v>0</v>
      </c>
      <c r="N107" s="488"/>
      <c r="O107" s="479">
        <f t="shared" si="42"/>
        <v>0</v>
      </c>
      <c r="P107" s="479">
        <f t="shared" si="43"/>
        <v>0</v>
      </c>
    </row>
    <row r="108" spans="1:16" ht="12.5">
      <c r="B108" s="160" t="str">
        <f t="shared" si="30"/>
        <v/>
      </c>
      <c r="C108" s="473">
        <f>IF(D93="","-",+C107+1)</f>
        <v>2021</v>
      </c>
      <c r="D108" s="347">
        <f>IF(F107+SUM(E$99:E107)=D$92,F107,D$92-SUM(E$99:E107))</f>
        <v>2732794.14</v>
      </c>
      <c r="E108" s="487">
        <f t="shared" si="36"/>
        <v>80628</v>
      </c>
      <c r="F108" s="486">
        <f t="shared" si="37"/>
        <v>2652166.14</v>
      </c>
      <c r="G108" s="486">
        <f t="shared" si="38"/>
        <v>2692480.14</v>
      </c>
      <c r="H108" s="489">
        <f t="shared" si="39"/>
        <v>358260.4673775392</v>
      </c>
      <c r="I108" s="543">
        <f t="shared" si="40"/>
        <v>358260.4673775392</v>
      </c>
      <c r="J108" s="479">
        <f t="shared" si="24"/>
        <v>0</v>
      </c>
      <c r="K108" s="479"/>
      <c r="L108" s="488"/>
      <c r="M108" s="479">
        <f t="shared" si="41"/>
        <v>0</v>
      </c>
      <c r="N108" s="488"/>
      <c r="O108" s="479">
        <f t="shared" si="42"/>
        <v>0</v>
      </c>
      <c r="P108" s="479">
        <f t="shared" si="43"/>
        <v>0</v>
      </c>
    </row>
    <row r="109" spans="1:16" ht="12.5">
      <c r="B109" s="160" t="str">
        <f t="shared" si="30"/>
        <v/>
      </c>
      <c r="C109" s="473">
        <f>IF(D93="","-",+C108+1)</f>
        <v>2022</v>
      </c>
      <c r="D109" s="347">
        <f>IF(F108+SUM(E$99:E108)=D$92,F108,D$92-SUM(E$99:E108))</f>
        <v>2652166.14</v>
      </c>
      <c r="E109" s="487">
        <f t="shared" si="36"/>
        <v>80628</v>
      </c>
      <c r="F109" s="486">
        <f t="shared" si="37"/>
        <v>2571538.14</v>
      </c>
      <c r="G109" s="486">
        <f t="shared" si="38"/>
        <v>2611852.14</v>
      </c>
      <c r="H109" s="489">
        <f t="shared" si="39"/>
        <v>349946.58968271012</v>
      </c>
      <c r="I109" s="543">
        <f t="shared" si="40"/>
        <v>349946.58968271012</v>
      </c>
      <c r="J109" s="479">
        <f t="shared" si="24"/>
        <v>0</v>
      </c>
      <c r="K109" s="479"/>
      <c r="L109" s="488"/>
      <c r="M109" s="479">
        <f t="shared" si="41"/>
        <v>0</v>
      </c>
      <c r="N109" s="488"/>
      <c r="O109" s="479">
        <f t="shared" si="42"/>
        <v>0</v>
      </c>
      <c r="P109" s="479">
        <f t="shared" si="43"/>
        <v>0</v>
      </c>
    </row>
    <row r="110" spans="1:16" ht="12.5">
      <c r="B110" s="160" t="str">
        <f t="shared" si="30"/>
        <v/>
      </c>
      <c r="C110" s="473">
        <f>IF(D93="","-",+C109+1)</f>
        <v>2023</v>
      </c>
      <c r="D110" s="347">
        <f>IF(F109+SUM(E$99:E109)=D$92,F109,D$92-SUM(E$99:E109))</f>
        <v>2571538.14</v>
      </c>
      <c r="E110" s="487">
        <f t="shared" si="36"/>
        <v>80628</v>
      </c>
      <c r="F110" s="486">
        <f t="shared" si="37"/>
        <v>2490910.14</v>
      </c>
      <c r="G110" s="486">
        <f t="shared" si="38"/>
        <v>2531224.14</v>
      </c>
      <c r="H110" s="489">
        <f t="shared" si="39"/>
        <v>341632.71198788111</v>
      </c>
      <c r="I110" s="543">
        <f t="shared" si="40"/>
        <v>341632.71198788111</v>
      </c>
      <c r="J110" s="479">
        <f t="shared" si="24"/>
        <v>0</v>
      </c>
      <c r="K110" s="479"/>
      <c r="L110" s="488"/>
      <c r="M110" s="479">
        <f t="shared" si="41"/>
        <v>0</v>
      </c>
      <c r="N110" s="488"/>
      <c r="O110" s="479">
        <f t="shared" si="42"/>
        <v>0</v>
      </c>
      <c r="P110" s="479">
        <f t="shared" si="43"/>
        <v>0</v>
      </c>
    </row>
    <row r="111" spans="1:16" ht="12.5">
      <c r="B111" s="160" t="str">
        <f t="shared" si="30"/>
        <v/>
      </c>
      <c r="C111" s="473">
        <f>IF(D93="","-",+C110+1)</f>
        <v>2024</v>
      </c>
      <c r="D111" s="347">
        <f>IF(F110+SUM(E$99:E110)=D$92,F110,D$92-SUM(E$99:E110))</f>
        <v>2490910.14</v>
      </c>
      <c r="E111" s="487">
        <f t="shared" si="36"/>
        <v>80628</v>
      </c>
      <c r="F111" s="486">
        <f t="shared" si="37"/>
        <v>2410282.14</v>
      </c>
      <c r="G111" s="486">
        <f t="shared" si="38"/>
        <v>2450596.14</v>
      </c>
      <c r="H111" s="489">
        <f t="shared" si="39"/>
        <v>333318.83429305197</v>
      </c>
      <c r="I111" s="543">
        <f t="shared" si="40"/>
        <v>333318.83429305197</v>
      </c>
      <c r="J111" s="479">
        <f t="shared" si="24"/>
        <v>0</v>
      </c>
      <c r="K111" s="479"/>
      <c r="L111" s="488"/>
      <c r="M111" s="479">
        <f t="shared" si="41"/>
        <v>0</v>
      </c>
      <c r="N111" s="488"/>
      <c r="O111" s="479">
        <f t="shared" si="42"/>
        <v>0</v>
      </c>
      <c r="P111" s="479">
        <f t="shared" si="43"/>
        <v>0</v>
      </c>
    </row>
    <row r="112" spans="1:16" ht="12.5">
      <c r="B112" s="160" t="str">
        <f t="shared" si="30"/>
        <v/>
      </c>
      <c r="C112" s="473">
        <f>IF(D93="","-",+C111+1)</f>
        <v>2025</v>
      </c>
      <c r="D112" s="347">
        <f>IF(F111+SUM(E$99:E111)=D$92,F111,D$92-SUM(E$99:E111))</f>
        <v>2410282.14</v>
      </c>
      <c r="E112" s="487">
        <f t="shared" si="36"/>
        <v>80628</v>
      </c>
      <c r="F112" s="486">
        <f t="shared" si="37"/>
        <v>2329654.14</v>
      </c>
      <c r="G112" s="486">
        <f t="shared" si="38"/>
        <v>2369968.14</v>
      </c>
      <c r="H112" s="489">
        <f t="shared" si="39"/>
        <v>325004.95659822295</v>
      </c>
      <c r="I112" s="543">
        <f t="shared" si="40"/>
        <v>325004.95659822295</v>
      </c>
      <c r="J112" s="479">
        <f t="shared" si="24"/>
        <v>0</v>
      </c>
      <c r="K112" s="479"/>
      <c r="L112" s="488"/>
      <c r="M112" s="479">
        <f t="shared" si="41"/>
        <v>0</v>
      </c>
      <c r="N112" s="488"/>
      <c r="O112" s="479">
        <f t="shared" si="42"/>
        <v>0</v>
      </c>
      <c r="P112" s="479">
        <f t="shared" si="43"/>
        <v>0</v>
      </c>
    </row>
    <row r="113" spans="2:16" ht="12.5">
      <c r="B113" s="160" t="str">
        <f t="shared" si="30"/>
        <v/>
      </c>
      <c r="C113" s="473">
        <f>IF(D93="","-",+C112+1)</f>
        <v>2026</v>
      </c>
      <c r="D113" s="347">
        <f>IF(F112+SUM(E$99:E112)=D$92,F112,D$92-SUM(E$99:E112))</f>
        <v>2329654.14</v>
      </c>
      <c r="E113" s="487">
        <f t="shared" si="36"/>
        <v>80628</v>
      </c>
      <c r="F113" s="486">
        <f t="shared" si="37"/>
        <v>2249026.14</v>
      </c>
      <c r="G113" s="486">
        <f t="shared" si="38"/>
        <v>2289340.14</v>
      </c>
      <c r="H113" s="489">
        <f t="shared" si="39"/>
        <v>316691.07890339388</v>
      </c>
      <c r="I113" s="543">
        <f t="shared" si="40"/>
        <v>316691.07890339388</v>
      </c>
      <c r="J113" s="479">
        <f t="shared" si="24"/>
        <v>0</v>
      </c>
      <c r="K113" s="479"/>
      <c r="L113" s="488"/>
      <c r="M113" s="479">
        <f t="shared" si="41"/>
        <v>0</v>
      </c>
      <c r="N113" s="488"/>
      <c r="O113" s="479">
        <f t="shared" si="42"/>
        <v>0</v>
      </c>
      <c r="P113" s="479">
        <f t="shared" si="43"/>
        <v>0</v>
      </c>
    </row>
    <row r="114" spans="2:16" ht="12.5">
      <c r="B114" s="160" t="str">
        <f t="shared" si="30"/>
        <v/>
      </c>
      <c r="C114" s="473">
        <f>IF(D93="","-",+C113+1)</f>
        <v>2027</v>
      </c>
      <c r="D114" s="347">
        <f>IF(F113+SUM(E$99:E113)=D$92,F113,D$92-SUM(E$99:E113))</f>
        <v>2249026.14</v>
      </c>
      <c r="E114" s="487">
        <f t="shared" si="36"/>
        <v>80628</v>
      </c>
      <c r="F114" s="486">
        <f t="shared" si="37"/>
        <v>2168398.14</v>
      </c>
      <c r="G114" s="486">
        <f t="shared" si="38"/>
        <v>2208712.14</v>
      </c>
      <c r="H114" s="489">
        <f t="shared" si="39"/>
        <v>308377.2012085648</v>
      </c>
      <c r="I114" s="543">
        <f t="shared" si="40"/>
        <v>308377.2012085648</v>
      </c>
      <c r="J114" s="479">
        <f t="shared" si="24"/>
        <v>0</v>
      </c>
      <c r="K114" s="479"/>
      <c r="L114" s="488"/>
      <c r="M114" s="479">
        <f t="shared" si="41"/>
        <v>0</v>
      </c>
      <c r="N114" s="488"/>
      <c r="O114" s="479">
        <f t="shared" si="42"/>
        <v>0</v>
      </c>
      <c r="P114" s="479">
        <f t="shared" si="43"/>
        <v>0</v>
      </c>
    </row>
    <row r="115" spans="2:16" ht="12.5">
      <c r="B115" s="160" t="str">
        <f t="shared" si="30"/>
        <v/>
      </c>
      <c r="C115" s="473">
        <f>IF(D93="","-",+C114+1)</f>
        <v>2028</v>
      </c>
      <c r="D115" s="347">
        <f>IF(F114+SUM(E$99:E114)=D$92,F114,D$92-SUM(E$99:E114))</f>
        <v>2168398.14</v>
      </c>
      <c r="E115" s="487">
        <f t="shared" si="36"/>
        <v>80628</v>
      </c>
      <c r="F115" s="486">
        <f t="shared" si="37"/>
        <v>2087770.1400000001</v>
      </c>
      <c r="G115" s="486">
        <f t="shared" si="38"/>
        <v>2128084.14</v>
      </c>
      <c r="H115" s="489">
        <f t="shared" si="39"/>
        <v>300063.32351373578</v>
      </c>
      <c r="I115" s="543">
        <f t="shared" si="40"/>
        <v>300063.32351373578</v>
      </c>
      <c r="J115" s="479">
        <f t="shared" si="24"/>
        <v>0</v>
      </c>
      <c r="K115" s="479"/>
      <c r="L115" s="488"/>
      <c r="M115" s="479">
        <f t="shared" si="41"/>
        <v>0</v>
      </c>
      <c r="N115" s="488"/>
      <c r="O115" s="479">
        <f t="shared" si="42"/>
        <v>0</v>
      </c>
      <c r="P115" s="479">
        <f t="shared" si="43"/>
        <v>0</v>
      </c>
    </row>
    <row r="116" spans="2:16" ht="12.5">
      <c r="B116" s="160" t="str">
        <f t="shared" si="30"/>
        <v/>
      </c>
      <c r="C116" s="473">
        <f>IF(D93="","-",+C115+1)</f>
        <v>2029</v>
      </c>
      <c r="D116" s="347">
        <f>IF(F115+SUM(E$99:E115)=D$92,F115,D$92-SUM(E$99:E115))</f>
        <v>2087770.1400000001</v>
      </c>
      <c r="E116" s="487">
        <f t="shared" si="36"/>
        <v>80628</v>
      </c>
      <c r="F116" s="486">
        <f t="shared" si="37"/>
        <v>2007142.1400000001</v>
      </c>
      <c r="G116" s="486">
        <f t="shared" si="38"/>
        <v>2047456.1400000001</v>
      </c>
      <c r="H116" s="489">
        <f t="shared" si="39"/>
        <v>291749.44581890671</v>
      </c>
      <c r="I116" s="543">
        <f t="shared" si="40"/>
        <v>291749.44581890671</v>
      </c>
      <c r="J116" s="479">
        <f t="shared" si="24"/>
        <v>0</v>
      </c>
      <c r="K116" s="479"/>
      <c r="L116" s="488"/>
      <c r="M116" s="479">
        <f t="shared" si="41"/>
        <v>0</v>
      </c>
      <c r="N116" s="488"/>
      <c r="O116" s="479">
        <f t="shared" si="42"/>
        <v>0</v>
      </c>
      <c r="P116" s="479">
        <f t="shared" si="43"/>
        <v>0</v>
      </c>
    </row>
    <row r="117" spans="2:16" ht="12.5">
      <c r="B117" s="160" t="str">
        <f t="shared" si="30"/>
        <v/>
      </c>
      <c r="C117" s="473">
        <f>IF(D93="","-",+C116+1)</f>
        <v>2030</v>
      </c>
      <c r="D117" s="347">
        <f>IF(F116+SUM(E$99:E116)=D$92,F116,D$92-SUM(E$99:E116))</f>
        <v>2007142.1400000001</v>
      </c>
      <c r="E117" s="487">
        <f t="shared" si="36"/>
        <v>80628</v>
      </c>
      <c r="F117" s="486">
        <f t="shared" si="37"/>
        <v>1926514.1400000001</v>
      </c>
      <c r="G117" s="486">
        <f t="shared" si="38"/>
        <v>1966828.1400000001</v>
      </c>
      <c r="H117" s="489">
        <f t="shared" si="39"/>
        <v>283435.56812407763</v>
      </c>
      <c r="I117" s="543">
        <f t="shared" si="40"/>
        <v>283435.56812407763</v>
      </c>
      <c r="J117" s="479">
        <f t="shared" si="24"/>
        <v>0</v>
      </c>
      <c r="K117" s="479"/>
      <c r="L117" s="488"/>
      <c r="M117" s="479">
        <f t="shared" si="41"/>
        <v>0</v>
      </c>
      <c r="N117" s="488"/>
      <c r="O117" s="479">
        <f t="shared" si="42"/>
        <v>0</v>
      </c>
      <c r="P117" s="479">
        <f t="shared" si="43"/>
        <v>0</v>
      </c>
    </row>
    <row r="118" spans="2:16" ht="12.5">
      <c r="B118" s="160" t="str">
        <f t="shared" si="30"/>
        <v/>
      </c>
      <c r="C118" s="473">
        <f>IF(D93="","-",+C117+1)</f>
        <v>2031</v>
      </c>
      <c r="D118" s="347">
        <f>IF(F117+SUM(E$99:E117)=D$92,F117,D$92-SUM(E$99:E117))</f>
        <v>1926514.1400000001</v>
      </c>
      <c r="E118" s="487">
        <f t="shared" si="36"/>
        <v>80628</v>
      </c>
      <c r="F118" s="486">
        <f t="shared" si="37"/>
        <v>1845886.1400000001</v>
      </c>
      <c r="G118" s="486">
        <f t="shared" si="38"/>
        <v>1886200.1400000001</v>
      </c>
      <c r="H118" s="489">
        <f t="shared" si="39"/>
        <v>275121.69042924861</v>
      </c>
      <c r="I118" s="543">
        <f t="shared" si="40"/>
        <v>275121.69042924861</v>
      </c>
      <c r="J118" s="479">
        <f t="shared" si="24"/>
        <v>0</v>
      </c>
      <c r="K118" s="479"/>
      <c r="L118" s="488"/>
      <c r="M118" s="479">
        <f t="shared" si="41"/>
        <v>0</v>
      </c>
      <c r="N118" s="488"/>
      <c r="O118" s="479">
        <f t="shared" si="42"/>
        <v>0</v>
      </c>
      <c r="P118" s="479">
        <f t="shared" si="43"/>
        <v>0</v>
      </c>
    </row>
    <row r="119" spans="2:16" ht="12.5">
      <c r="B119" s="160" t="str">
        <f t="shared" si="30"/>
        <v/>
      </c>
      <c r="C119" s="473">
        <f>IF(D93="","-",+C118+1)</f>
        <v>2032</v>
      </c>
      <c r="D119" s="347">
        <f>IF(F118+SUM(E$99:E118)=D$92,F118,D$92-SUM(E$99:E118))</f>
        <v>1845886.1400000001</v>
      </c>
      <c r="E119" s="487">
        <f t="shared" si="36"/>
        <v>80628</v>
      </c>
      <c r="F119" s="486">
        <f t="shared" si="37"/>
        <v>1765258.1400000001</v>
      </c>
      <c r="G119" s="486">
        <f t="shared" si="38"/>
        <v>1805572.1400000001</v>
      </c>
      <c r="H119" s="489">
        <f t="shared" si="39"/>
        <v>266807.81273441948</v>
      </c>
      <c r="I119" s="543">
        <f t="shared" si="40"/>
        <v>266807.81273441948</v>
      </c>
      <c r="J119" s="479">
        <f t="shared" si="24"/>
        <v>0</v>
      </c>
      <c r="K119" s="479"/>
      <c r="L119" s="488"/>
      <c r="M119" s="479">
        <f t="shared" si="41"/>
        <v>0</v>
      </c>
      <c r="N119" s="488"/>
      <c r="O119" s="479">
        <f t="shared" si="42"/>
        <v>0</v>
      </c>
      <c r="P119" s="479">
        <f t="shared" si="43"/>
        <v>0</v>
      </c>
    </row>
    <row r="120" spans="2:16" ht="12.5">
      <c r="B120" s="160" t="str">
        <f t="shared" si="30"/>
        <v/>
      </c>
      <c r="C120" s="473">
        <f>IF(D93="","-",+C119+1)</f>
        <v>2033</v>
      </c>
      <c r="D120" s="347">
        <f>IF(F119+SUM(E$99:E119)=D$92,F119,D$92-SUM(E$99:E119))</f>
        <v>1765258.1400000001</v>
      </c>
      <c r="E120" s="487">
        <f t="shared" si="36"/>
        <v>80628</v>
      </c>
      <c r="F120" s="486">
        <f t="shared" si="37"/>
        <v>1684630.1400000001</v>
      </c>
      <c r="G120" s="486">
        <f t="shared" si="38"/>
        <v>1724944.1400000001</v>
      </c>
      <c r="H120" s="489">
        <f t="shared" si="39"/>
        <v>258493.93503959046</v>
      </c>
      <c r="I120" s="543">
        <f t="shared" si="40"/>
        <v>258493.93503959046</v>
      </c>
      <c r="J120" s="479">
        <f t="shared" si="24"/>
        <v>0</v>
      </c>
      <c r="K120" s="479"/>
      <c r="L120" s="488"/>
      <c r="M120" s="479">
        <f t="shared" si="41"/>
        <v>0</v>
      </c>
      <c r="N120" s="488"/>
      <c r="O120" s="479">
        <f t="shared" si="42"/>
        <v>0</v>
      </c>
      <c r="P120" s="479">
        <f t="shared" si="43"/>
        <v>0</v>
      </c>
    </row>
    <row r="121" spans="2:16" ht="12.5">
      <c r="B121" s="160" t="str">
        <f t="shared" si="30"/>
        <v/>
      </c>
      <c r="C121" s="473">
        <f>IF(D93="","-",+C120+1)</f>
        <v>2034</v>
      </c>
      <c r="D121" s="347">
        <f>IF(F120+SUM(E$99:E120)=D$92,F120,D$92-SUM(E$99:E120))</f>
        <v>1684630.1400000001</v>
      </c>
      <c r="E121" s="487">
        <f t="shared" si="36"/>
        <v>80628</v>
      </c>
      <c r="F121" s="486">
        <f t="shared" si="37"/>
        <v>1604002.1400000001</v>
      </c>
      <c r="G121" s="486">
        <f t="shared" si="38"/>
        <v>1644316.1400000001</v>
      </c>
      <c r="H121" s="489">
        <f t="shared" si="39"/>
        <v>250180.05734476139</v>
      </c>
      <c r="I121" s="543">
        <f t="shared" si="40"/>
        <v>250180.05734476139</v>
      </c>
      <c r="J121" s="479">
        <f t="shared" si="24"/>
        <v>0</v>
      </c>
      <c r="K121" s="479"/>
      <c r="L121" s="488"/>
      <c r="M121" s="479">
        <f t="shared" si="41"/>
        <v>0</v>
      </c>
      <c r="N121" s="488"/>
      <c r="O121" s="479">
        <f t="shared" si="42"/>
        <v>0</v>
      </c>
      <c r="P121" s="479">
        <f t="shared" si="43"/>
        <v>0</v>
      </c>
    </row>
    <row r="122" spans="2:16" ht="12.5">
      <c r="B122" s="160" t="str">
        <f t="shared" si="30"/>
        <v/>
      </c>
      <c r="C122" s="473">
        <f>IF(D93="","-",+C121+1)</f>
        <v>2035</v>
      </c>
      <c r="D122" s="347">
        <f>IF(F121+SUM(E$99:E121)=D$92,F121,D$92-SUM(E$99:E121))</f>
        <v>1604002.1400000001</v>
      </c>
      <c r="E122" s="487">
        <f t="shared" si="36"/>
        <v>80628</v>
      </c>
      <c r="F122" s="486">
        <f t="shared" si="37"/>
        <v>1523374.1400000001</v>
      </c>
      <c r="G122" s="486">
        <f t="shared" si="38"/>
        <v>1563688.1400000001</v>
      </c>
      <c r="H122" s="489">
        <f t="shared" si="39"/>
        <v>241866.17964993234</v>
      </c>
      <c r="I122" s="543">
        <f t="shared" si="40"/>
        <v>241866.17964993234</v>
      </c>
      <c r="J122" s="479">
        <f t="shared" si="24"/>
        <v>0</v>
      </c>
      <c r="K122" s="479"/>
      <c r="L122" s="488"/>
      <c r="M122" s="479">
        <f t="shared" si="41"/>
        <v>0</v>
      </c>
      <c r="N122" s="488"/>
      <c r="O122" s="479">
        <f t="shared" si="42"/>
        <v>0</v>
      </c>
      <c r="P122" s="479">
        <f t="shared" si="43"/>
        <v>0</v>
      </c>
    </row>
    <row r="123" spans="2:16" ht="12.5">
      <c r="B123" s="160" t="str">
        <f t="shared" si="30"/>
        <v/>
      </c>
      <c r="C123" s="473">
        <f>IF(D93="","-",+C122+1)</f>
        <v>2036</v>
      </c>
      <c r="D123" s="347">
        <f>IF(F122+SUM(E$99:E122)=D$92,F122,D$92-SUM(E$99:E122))</f>
        <v>1523374.1400000001</v>
      </c>
      <c r="E123" s="487">
        <f t="shared" si="36"/>
        <v>80628</v>
      </c>
      <c r="F123" s="486">
        <f t="shared" si="37"/>
        <v>1442746.1400000001</v>
      </c>
      <c r="G123" s="486">
        <f t="shared" si="38"/>
        <v>1483060.1400000001</v>
      </c>
      <c r="H123" s="489">
        <f t="shared" si="39"/>
        <v>233552.30195510326</v>
      </c>
      <c r="I123" s="543">
        <f t="shared" si="40"/>
        <v>233552.30195510326</v>
      </c>
      <c r="J123" s="479">
        <f t="shared" si="24"/>
        <v>0</v>
      </c>
      <c r="K123" s="479"/>
      <c r="L123" s="488"/>
      <c r="M123" s="479">
        <f t="shared" si="41"/>
        <v>0</v>
      </c>
      <c r="N123" s="488"/>
      <c r="O123" s="479">
        <f t="shared" si="42"/>
        <v>0</v>
      </c>
      <c r="P123" s="479">
        <f t="shared" si="43"/>
        <v>0</v>
      </c>
    </row>
    <row r="124" spans="2:16" ht="12.5">
      <c r="B124" s="160" t="str">
        <f t="shared" si="30"/>
        <v/>
      </c>
      <c r="C124" s="473">
        <f>IF(D93="","-",+C123+1)</f>
        <v>2037</v>
      </c>
      <c r="D124" s="347">
        <f>IF(F123+SUM(E$99:E123)=D$92,F123,D$92-SUM(E$99:E123))</f>
        <v>1442746.1400000001</v>
      </c>
      <c r="E124" s="487">
        <f t="shared" si="36"/>
        <v>80628</v>
      </c>
      <c r="F124" s="486">
        <f t="shared" si="37"/>
        <v>1362118.1400000001</v>
      </c>
      <c r="G124" s="486">
        <f t="shared" si="38"/>
        <v>1402432.1400000001</v>
      </c>
      <c r="H124" s="489">
        <f t="shared" si="39"/>
        <v>225238.42426027422</v>
      </c>
      <c r="I124" s="543">
        <f t="shared" si="40"/>
        <v>225238.42426027422</v>
      </c>
      <c r="J124" s="479">
        <f t="shared" si="24"/>
        <v>0</v>
      </c>
      <c r="K124" s="479"/>
      <c r="L124" s="488"/>
      <c r="M124" s="479">
        <f t="shared" si="41"/>
        <v>0</v>
      </c>
      <c r="N124" s="488"/>
      <c r="O124" s="479">
        <f t="shared" si="42"/>
        <v>0</v>
      </c>
      <c r="P124" s="479">
        <f t="shared" si="43"/>
        <v>0</v>
      </c>
    </row>
    <row r="125" spans="2:16" ht="12.5">
      <c r="B125" s="160" t="str">
        <f t="shared" si="30"/>
        <v/>
      </c>
      <c r="C125" s="473">
        <f>IF(D93="","-",+C124+1)</f>
        <v>2038</v>
      </c>
      <c r="D125" s="347">
        <f>IF(F124+SUM(E$99:E124)=D$92,F124,D$92-SUM(E$99:E124))</f>
        <v>1362118.1400000001</v>
      </c>
      <c r="E125" s="487">
        <f t="shared" si="36"/>
        <v>80628</v>
      </c>
      <c r="F125" s="486">
        <f t="shared" si="37"/>
        <v>1281490.1400000001</v>
      </c>
      <c r="G125" s="486">
        <f t="shared" si="38"/>
        <v>1321804.1400000001</v>
      </c>
      <c r="H125" s="489">
        <f t="shared" si="39"/>
        <v>216924.54656544514</v>
      </c>
      <c r="I125" s="543">
        <f t="shared" si="40"/>
        <v>216924.54656544514</v>
      </c>
      <c r="J125" s="479">
        <f t="shared" si="24"/>
        <v>0</v>
      </c>
      <c r="K125" s="479"/>
      <c r="L125" s="488"/>
      <c r="M125" s="479">
        <f t="shared" si="41"/>
        <v>0</v>
      </c>
      <c r="N125" s="488"/>
      <c r="O125" s="479">
        <f t="shared" si="42"/>
        <v>0</v>
      </c>
      <c r="P125" s="479">
        <f t="shared" si="43"/>
        <v>0</v>
      </c>
    </row>
    <row r="126" spans="2:16" ht="12.5">
      <c r="B126" s="160" t="str">
        <f t="shared" si="30"/>
        <v/>
      </c>
      <c r="C126" s="473">
        <f>IF(D93="","-",+C125+1)</f>
        <v>2039</v>
      </c>
      <c r="D126" s="347">
        <f>IF(F125+SUM(E$99:E125)=D$92,F125,D$92-SUM(E$99:E125))</f>
        <v>1281490.1400000001</v>
      </c>
      <c r="E126" s="487">
        <f t="shared" si="36"/>
        <v>80628</v>
      </c>
      <c r="F126" s="486">
        <f t="shared" si="37"/>
        <v>1200862.1400000001</v>
      </c>
      <c r="G126" s="486">
        <f t="shared" si="38"/>
        <v>1241176.1400000001</v>
      </c>
      <c r="H126" s="489">
        <f t="shared" si="39"/>
        <v>208610.66887061606</v>
      </c>
      <c r="I126" s="543">
        <f t="shared" si="40"/>
        <v>208610.66887061606</v>
      </c>
      <c r="J126" s="479">
        <f t="shared" si="24"/>
        <v>0</v>
      </c>
      <c r="K126" s="479"/>
      <c r="L126" s="488"/>
      <c r="M126" s="479">
        <f t="shared" si="41"/>
        <v>0</v>
      </c>
      <c r="N126" s="488"/>
      <c r="O126" s="479">
        <f t="shared" si="42"/>
        <v>0</v>
      </c>
      <c r="P126" s="479">
        <f t="shared" si="43"/>
        <v>0</v>
      </c>
    </row>
    <row r="127" spans="2:16" ht="12.5">
      <c r="B127" s="160" t="str">
        <f t="shared" si="30"/>
        <v/>
      </c>
      <c r="C127" s="473">
        <f>IF(D93="","-",+C126+1)</f>
        <v>2040</v>
      </c>
      <c r="D127" s="347">
        <f>IF(F126+SUM(E$99:E126)=D$92,F126,D$92-SUM(E$99:E126))</f>
        <v>1200862.1400000001</v>
      </c>
      <c r="E127" s="487">
        <f t="shared" si="36"/>
        <v>80628</v>
      </c>
      <c r="F127" s="486">
        <f t="shared" si="37"/>
        <v>1120234.1400000001</v>
      </c>
      <c r="G127" s="486">
        <f t="shared" si="38"/>
        <v>1160548.1400000001</v>
      </c>
      <c r="H127" s="489">
        <f t="shared" si="39"/>
        <v>200296.79117578702</v>
      </c>
      <c r="I127" s="543">
        <f t="shared" si="40"/>
        <v>200296.79117578702</v>
      </c>
      <c r="J127" s="479">
        <f t="shared" si="24"/>
        <v>0</v>
      </c>
      <c r="K127" s="479"/>
      <c r="L127" s="488"/>
      <c r="M127" s="479">
        <f t="shared" si="41"/>
        <v>0</v>
      </c>
      <c r="N127" s="488"/>
      <c r="O127" s="479">
        <f t="shared" si="42"/>
        <v>0</v>
      </c>
      <c r="P127" s="479">
        <f t="shared" si="43"/>
        <v>0</v>
      </c>
    </row>
    <row r="128" spans="2:16" ht="12.5">
      <c r="B128" s="160" t="str">
        <f t="shared" si="30"/>
        <v/>
      </c>
      <c r="C128" s="473">
        <f>IF(D93="","-",+C127+1)</f>
        <v>2041</v>
      </c>
      <c r="D128" s="347">
        <f>IF(F127+SUM(E$99:E127)=D$92,F127,D$92-SUM(E$99:E127))</f>
        <v>1120234.1400000001</v>
      </c>
      <c r="E128" s="487">
        <f t="shared" si="36"/>
        <v>80628</v>
      </c>
      <c r="F128" s="486">
        <f t="shared" si="37"/>
        <v>1039606.1400000001</v>
      </c>
      <c r="G128" s="486">
        <f t="shared" si="38"/>
        <v>1079920.1400000001</v>
      </c>
      <c r="H128" s="489">
        <f t="shared" si="39"/>
        <v>191982.91348095797</v>
      </c>
      <c r="I128" s="543">
        <f t="shared" si="40"/>
        <v>191982.91348095797</v>
      </c>
      <c r="J128" s="479">
        <f t="shared" si="24"/>
        <v>0</v>
      </c>
      <c r="K128" s="479"/>
      <c r="L128" s="488"/>
      <c r="M128" s="479">
        <f t="shared" si="41"/>
        <v>0</v>
      </c>
      <c r="N128" s="488"/>
      <c r="O128" s="479">
        <f t="shared" si="42"/>
        <v>0</v>
      </c>
      <c r="P128" s="479">
        <f t="shared" si="43"/>
        <v>0</v>
      </c>
    </row>
    <row r="129" spans="2:16" ht="12.5">
      <c r="B129" s="160" t="str">
        <f t="shared" si="30"/>
        <v/>
      </c>
      <c r="C129" s="473">
        <f>IF(D93="","-",+C128+1)</f>
        <v>2042</v>
      </c>
      <c r="D129" s="347">
        <f>IF(F128+SUM(E$99:E128)=D$92,F128,D$92-SUM(E$99:E128))</f>
        <v>1039606.1400000001</v>
      </c>
      <c r="E129" s="487">
        <f t="shared" si="36"/>
        <v>80628</v>
      </c>
      <c r="F129" s="486">
        <f t="shared" si="37"/>
        <v>958978.14000000013</v>
      </c>
      <c r="G129" s="486">
        <f t="shared" si="38"/>
        <v>999292.14000000013</v>
      </c>
      <c r="H129" s="489">
        <f t="shared" si="39"/>
        <v>183669.03578612889</v>
      </c>
      <c r="I129" s="543">
        <f t="shared" si="40"/>
        <v>183669.03578612889</v>
      </c>
      <c r="J129" s="479">
        <f t="shared" si="24"/>
        <v>0</v>
      </c>
      <c r="K129" s="479"/>
      <c r="L129" s="488"/>
      <c r="M129" s="479">
        <f t="shared" si="41"/>
        <v>0</v>
      </c>
      <c r="N129" s="488"/>
      <c r="O129" s="479">
        <f t="shared" si="42"/>
        <v>0</v>
      </c>
      <c r="P129" s="479">
        <f t="shared" si="43"/>
        <v>0</v>
      </c>
    </row>
    <row r="130" spans="2:16" ht="12.5">
      <c r="B130" s="160" t="str">
        <f t="shared" si="30"/>
        <v/>
      </c>
      <c r="C130" s="473">
        <f>IF(D93="","-",+C129+1)</f>
        <v>2043</v>
      </c>
      <c r="D130" s="347">
        <f>IF(F129+SUM(E$99:E129)=D$92,F129,D$92-SUM(E$99:E129))</f>
        <v>958978.14000000013</v>
      </c>
      <c r="E130" s="487">
        <f t="shared" si="36"/>
        <v>80628</v>
      </c>
      <c r="F130" s="486">
        <f t="shared" si="37"/>
        <v>878350.14000000013</v>
      </c>
      <c r="G130" s="486">
        <f t="shared" si="38"/>
        <v>918664.14000000013</v>
      </c>
      <c r="H130" s="489">
        <f t="shared" si="39"/>
        <v>175355.15809129982</v>
      </c>
      <c r="I130" s="543">
        <f t="shared" si="40"/>
        <v>175355.15809129982</v>
      </c>
      <c r="J130" s="479">
        <f t="shared" si="24"/>
        <v>0</v>
      </c>
      <c r="K130" s="479"/>
      <c r="L130" s="488"/>
      <c r="M130" s="479">
        <f t="shared" si="41"/>
        <v>0</v>
      </c>
      <c r="N130" s="488"/>
      <c r="O130" s="479">
        <f t="shared" si="42"/>
        <v>0</v>
      </c>
      <c r="P130" s="479">
        <f t="shared" si="43"/>
        <v>0</v>
      </c>
    </row>
    <row r="131" spans="2:16" ht="12.5">
      <c r="B131" s="160" t="str">
        <f t="shared" si="30"/>
        <v/>
      </c>
      <c r="C131" s="473">
        <f>IF(D93="","-",+C130+1)</f>
        <v>2044</v>
      </c>
      <c r="D131" s="347">
        <f>IF(F130+SUM(E$99:E130)=D$92,F130,D$92-SUM(E$99:E130))</f>
        <v>878350.14000000013</v>
      </c>
      <c r="E131" s="487">
        <f t="shared" si="36"/>
        <v>80628</v>
      </c>
      <c r="F131" s="486">
        <f t="shared" si="37"/>
        <v>797722.14000000013</v>
      </c>
      <c r="G131" s="486">
        <f t="shared" si="38"/>
        <v>838036.14000000013</v>
      </c>
      <c r="H131" s="489">
        <f t="shared" ref="H131:H154" si="44">+J$94*G131+E131</f>
        <v>167041.28039647077</v>
      </c>
      <c r="I131" s="543">
        <f t="shared" ref="I131:I154" si="45">+J$95*G131+E131</f>
        <v>167041.28039647077</v>
      </c>
      <c r="J131" s="479">
        <f t="shared" ref="J131:J154" si="46">+I541-H541</f>
        <v>0</v>
      </c>
      <c r="K131" s="479"/>
      <c r="L131" s="488"/>
      <c r="M131" s="479">
        <f t="shared" ref="M131:M154" si="47">IF(L541&lt;&gt;0,+H541-L541,0)</f>
        <v>0</v>
      </c>
      <c r="N131" s="488"/>
      <c r="O131" s="479">
        <f t="shared" ref="O131:O154" si="48">IF(N541&lt;&gt;0,+I541-N541,0)</f>
        <v>0</v>
      </c>
      <c r="P131" s="479">
        <f t="shared" ref="P131:P154" si="49">+O541-M541</f>
        <v>0</v>
      </c>
    </row>
    <row r="132" spans="2:16" ht="12.5">
      <c r="B132" s="160" t="str">
        <f t="shared" ref="B132:B154" si="50">IF(D132=F131,"","IU")</f>
        <v/>
      </c>
      <c r="C132" s="473">
        <f>IF(D93="","-",+C131+1)</f>
        <v>2045</v>
      </c>
      <c r="D132" s="347">
        <f>IF(F131+SUM(E$99:E131)=D$92,F131,D$92-SUM(E$99:E131))</f>
        <v>797722.14000000013</v>
      </c>
      <c r="E132" s="487">
        <f t="shared" si="36"/>
        <v>80628</v>
      </c>
      <c r="F132" s="486">
        <f t="shared" si="37"/>
        <v>717094.14000000013</v>
      </c>
      <c r="G132" s="486">
        <f t="shared" si="38"/>
        <v>757408.14000000013</v>
      </c>
      <c r="H132" s="489">
        <f t="shared" si="44"/>
        <v>158727.40270164172</v>
      </c>
      <c r="I132" s="543">
        <f t="shared" si="45"/>
        <v>158727.40270164172</v>
      </c>
      <c r="J132" s="479">
        <f t="shared" si="46"/>
        <v>0</v>
      </c>
      <c r="K132" s="479"/>
      <c r="L132" s="488"/>
      <c r="M132" s="479">
        <f t="shared" si="47"/>
        <v>0</v>
      </c>
      <c r="N132" s="488"/>
      <c r="O132" s="479">
        <f t="shared" si="48"/>
        <v>0</v>
      </c>
      <c r="P132" s="479">
        <f t="shared" si="49"/>
        <v>0</v>
      </c>
    </row>
    <row r="133" spans="2:16" ht="12.5">
      <c r="B133" s="160" t="str">
        <f t="shared" si="50"/>
        <v/>
      </c>
      <c r="C133" s="473">
        <f>IF(D93="","-",+C132+1)</f>
        <v>2046</v>
      </c>
      <c r="D133" s="347">
        <f>IF(F132+SUM(E$99:E132)=D$92,F132,D$92-SUM(E$99:E132))</f>
        <v>717094.14000000013</v>
      </c>
      <c r="E133" s="487">
        <f t="shared" si="36"/>
        <v>80628</v>
      </c>
      <c r="F133" s="486">
        <f t="shared" si="37"/>
        <v>636466.14000000013</v>
      </c>
      <c r="G133" s="486">
        <f t="shared" si="38"/>
        <v>676780.14000000013</v>
      </c>
      <c r="H133" s="489">
        <f t="shared" si="44"/>
        <v>150413.52500681265</v>
      </c>
      <c r="I133" s="543">
        <f t="shared" si="45"/>
        <v>150413.52500681265</v>
      </c>
      <c r="J133" s="479">
        <f t="shared" si="46"/>
        <v>0</v>
      </c>
      <c r="K133" s="479"/>
      <c r="L133" s="488"/>
      <c r="M133" s="479">
        <f t="shared" si="47"/>
        <v>0</v>
      </c>
      <c r="N133" s="488"/>
      <c r="O133" s="479">
        <f t="shared" si="48"/>
        <v>0</v>
      </c>
      <c r="P133" s="479">
        <f t="shared" si="49"/>
        <v>0</v>
      </c>
    </row>
    <row r="134" spans="2:16" ht="12.5">
      <c r="B134" s="160" t="str">
        <f t="shared" si="50"/>
        <v/>
      </c>
      <c r="C134" s="473">
        <f>IF(D93="","-",+C133+1)</f>
        <v>2047</v>
      </c>
      <c r="D134" s="347">
        <f>IF(F133+SUM(E$99:E133)=D$92,F133,D$92-SUM(E$99:E133))</f>
        <v>636466.14000000013</v>
      </c>
      <c r="E134" s="487">
        <f t="shared" si="36"/>
        <v>80628</v>
      </c>
      <c r="F134" s="486">
        <f t="shared" si="37"/>
        <v>555838.14000000013</v>
      </c>
      <c r="G134" s="486">
        <f t="shared" si="38"/>
        <v>596152.14000000013</v>
      </c>
      <c r="H134" s="489">
        <f t="shared" si="44"/>
        <v>142099.6473119836</v>
      </c>
      <c r="I134" s="543">
        <f t="shared" si="45"/>
        <v>142099.6473119836</v>
      </c>
      <c r="J134" s="479">
        <f t="shared" si="46"/>
        <v>0</v>
      </c>
      <c r="K134" s="479"/>
      <c r="L134" s="488"/>
      <c r="M134" s="479">
        <f t="shared" si="47"/>
        <v>0</v>
      </c>
      <c r="N134" s="488"/>
      <c r="O134" s="479">
        <f t="shared" si="48"/>
        <v>0</v>
      </c>
      <c r="P134" s="479">
        <f t="shared" si="49"/>
        <v>0</v>
      </c>
    </row>
    <row r="135" spans="2:16" ht="12.5">
      <c r="B135" s="160" t="str">
        <f t="shared" si="50"/>
        <v/>
      </c>
      <c r="C135" s="473">
        <f>IF(D93="","-",+C134+1)</f>
        <v>2048</v>
      </c>
      <c r="D135" s="347">
        <f>IF(F134+SUM(E$99:E134)=D$92,F134,D$92-SUM(E$99:E134))</f>
        <v>555838.14000000013</v>
      </c>
      <c r="E135" s="487">
        <f t="shared" si="36"/>
        <v>80628</v>
      </c>
      <c r="F135" s="486">
        <f t="shared" si="37"/>
        <v>475210.14000000013</v>
      </c>
      <c r="G135" s="486">
        <f t="shared" si="38"/>
        <v>515524.14000000013</v>
      </c>
      <c r="H135" s="489">
        <f t="shared" si="44"/>
        <v>133785.76961715452</v>
      </c>
      <c r="I135" s="543">
        <f t="shared" si="45"/>
        <v>133785.76961715452</v>
      </c>
      <c r="J135" s="479">
        <f t="shared" si="46"/>
        <v>0</v>
      </c>
      <c r="K135" s="479"/>
      <c r="L135" s="488"/>
      <c r="M135" s="479">
        <f t="shared" si="47"/>
        <v>0</v>
      </c>
      <c r="N135" s="488"/>
      <c r="O135" s="479">
        <f t="shared" si="48"/>
        <v>0</v>
      </c>
      <c r="P135" s="479">
        <f t="shared" si="49"/>
        <v>0</v>
      </c>
    </row>
    <row r="136" spans="2:16" ht="12.5">
      <c r="B136" s="160" t="str">
        <f t="shared" si="50"/>
        <v/>
      </c>
      <c r="C136" s="473">
        <f>IF(D93="","-",+C135+1)</f>
        <v>2049</v>
      </c>
      <c r="D136" s="347">
        <f>IF(F135+SUM(E$99:E135)=D$92,F135,D$92-SUM(E$99:E135))</f>
        <v>475210.14000000013</v>
      </c>
      <c r="E136" s="487">
        <f t="shared" si="36"/>
        <v>80628</v>
      </c>
      <c r="F136" s="486">
        <f t="shared" si="37"/>
        <v>394582.14000000013</v>
      </c>
      <c r="G136" s="486">
        <f t="shared" si="38"/>
        <v>434896.14000000013</v>
      </c>
      <c r="H136" s="489">
        <f t="shared" si="44"/>
        <v>125471.89192232548</v>
      </c>
      <c r="I136" s="543">
        <f t="shared" si="45"/>
        <v>125471.89192232548</v>
      </c>
      <c r="J136" s="479">
        <f t="shared" si="46"/>
        <v>0</v>
      </c>
      <c r="K136" s="479"/>
      <c r="L136" s="488"/>
      <c r="M136" s="479">
        <f t="shared" si="47"/>
        <v>0</v>
      </c>
      <c r="N136" s="488"/>
      <c r="O136" s="479">
        <f t="shared" si="48"/>
        <v>0</v>
      </c>
      <c r="P136" s="479">
        <f t="shared" si="49"/>
        <v>0</v>
      </c>
    </row>
    <row r="137" spans="2:16" ht="12.5">
      <c r="B137" s="160" t="str">
        <f t="shared" si="50"/>
        <v/>
      </c>
      <c r="C137" s="473">
        <f>IF(D93="","-",+C136+1)</f>
        <v>2050</v>
      </c>
      <c r="D137" s="347">
        <f>IF(F136+SUM(E$99:E136)=D$92,F136,D$92-SUM(E$99:E136))</f>
        <v>394582.14000000013</v>
      </c>
      <c r="E137" s="487">
        <f t="shared" si="36"/>
        <v>80628</v>
      </c>
      <c r="F137" s="486">
        <f t="shared" si="37"/>
        <v>313954.14000000013</v>
      </c>
      <c r="G137" s="486">
        <f t="shared" si="38"/>
        <v>354268.14000000013</v>
      </c>
      <c r="H137" s="489">
        <f t="shared" si="44"/>
        <v>117158.0142274964</v>
      </c>
      <c r="I137" s="543">
        <f t="shared" si="45"/>
        <v>117158.0142274964</v>
      </c>
      <c r="J137" s="479">
        <f t="shared" si="46"/>
        <v>0</v>
      </c>
      <c r="K137" s="479"/>
      <c r="L137" s="488"/>
      <c r="M137" s="479">
        <f t="shared" si="47"/>
        <v>0</v>
      </c>
      <c r="N137" s="488"/>
      <c r="O137" s="479">
        <f t="shared" si="48"/>
        <v>0</v>
      </c>
      <c r="P137" s="479">
        <f t="shared" si="49"/>
        <v>0</v>
      </c>
    </row>
    <row r="138" spans="2:16" ht="12.5">
      <c r="B138" s="160" t="str">
        <f t="shared" si="50"/>
        <v/>
      </c>
      <c r="C138" s="473">
        <f>IF(D93="","-",+C137+1)</f>
        <v>2051</v>
      </c>
      <c r="D138" s="347">
        <f>IF(F137+SUM(E$99:E137)=D$92,F137,D$92-SUM(E$99:E137))</f>
        <v>313954.14000000013</v>
      </c>
      <c r="E138" s="487">
        <f t="shared" si="36"/>
        <v>80628</v>
      </c>
      <c r="F138" s="486">
        <f t="shared" si="37"/>
        <v>233326.14000000013</v>
      </c>
      <c r="G138" s="486">
        <f t="shared" si="38"/>
        <v>273640.14000000013</v>
      </c>
      <c r="H138" s="489">
        <f t="shared" si="44"/>
        <v>108844.13653266734</v>
      </c>
      <c r="I138" s="543">
        <f t="shared" si="45"/>
        <v>108844.13653266734</v>
      </c>
      <c r="J138" s="479">
        <f t="shared" si="46"/>
        <v>0</v>
      </c>
      <c r="K138" s="479"/>
      <c r="L138" s="488"/>
      <c r="M138" s="479">
        <f t="shared" si="47"/>
        <v>0</v>
      </c>
      <c r="N138" s="488"/>
      <c r="O138" s="479">
        <f t="shared" si="48"/>
        <v>0</v>
      </c>
      <c r="P138" s="479">
        <f t="shared" si="49"/>
        <v>0</v>
      </c>
    </row>
    <row r="139" spans="2:16" ht="12.5">
      <c r="B139" s="160" t="str">
        <f t="shared" si="50"/>
        <v/>
      </c>
      <c r="C139" s="473">
        <f>IF(D93="","-",+C138+1)</f>
        <v>2052</v>
      </c>
      <c r="D139" s="347">
        <f>IF(F138+SUM(E$99:E138)=D$92,F138,D$92-SUM(E$99:E138))</f>
        <v>233326.14000000013</v>
      </c>
      <c r="E139" s="487">
        <f t="shared" si="36"/>
        <v>80628</v>
      </c>
      <c r="F139" s="486">
        <f t="shared" si="37"/>
        <v>152698.14000000013</v>
      </c>
      <c r="G139" s="486">
        <f t="shared" si="38"/>
        <v>193012.14000000013</v>
      </c>
      <c r="H139" s="489">
        <f t="shared" si="44"/>
        <v>100530.25883783828</v>
      </c>
      <c r="I139" s="543">
        <f t="shared" si="45"/>
        <v>100530.25883783828</v>
      </c>
      <c r="J139" s="479">
        <f t="shared" si="46"/>
        <v>0</v>
      </c>
      <c r="K139" s="479"/>
      <c r="L139" s="488"/>
      <c r="M139" s="479">
        <f t="shared" si="47"/>
        <v>0</v>
      </c>
      <c r="N139" s="488"/>
      <c r="O139" s="479">
        <f t="shared" si="48"/>
        <v>0</v>
      </c>
      <c r="P139" s="479">
        <f t="shared" si="49"/>
        <v>0</v>
      </c>
    </row>
    <row r="140" spans="2:16" ht="12.5">
      <c r="B140" s="160" t="str">
        <f t="shared" si="50"/>
        <v/>
      </c>
      <c r="C140" s="473">
        <f>IF(D93="","-",+C139+1)</f>
        <v>2053</v>
      </c>
      <c r="D140" s="347">
        <f>IF(F139+SUM(E$99:E139)=D$92,F139,D$92-SUM(E$99:E139))</f>
        <v>152698.14000000013</v>
      </c>
      <c r="E140" s="487">
        <f t="shared" si="36"/>
        <v>80628</v>
      </c>
      <c r="F140" s="486">
        <f t="shared" si="37"/>
        <v>72070.14000000013</v>
      </c>
      <c r="G140" s="486">
        <f t="shared" si="38"/>
        <v>112384.14000000013</v>
      </c>
      <c r="H140" s="489">
        <f t="shared" si="44"/>
        <v>92216.381143009217</v>
      </c>
      <c r="I140" s="543">
        <f t="shared" si="45"/>
        <v>92216.381143009217</v>
      </c>
      <c r="J140" s="479">
        <f t="shared" si="46"/>
        <v>0</v>
      </c>
      <c r="K140" s="479"/>
      <c r="L140" s="488"/>
      <c r="M140" s="479">
        <f t="shared" si="47"/>
        <v>0</v>
      </c>
      <c r="N140" s="488"/>
      <c r="O140" s="479">
        <f t="shared" si="48"/>
        <v>0</v>
      </c>
      <c r="P140" s="479">
        <f t="shared" si="49"/>
        <v>0</v>
      </c>
    </row>
    <row r="141" spans="2:16" ht="12.5">
      <c r="B141" s="160" t="str">
        <f t="shared" si="50"/>
        <v/>
      </c>
      <c r="C141" s="473">
        <f>IF(D93="","-",+C140+1)</f>
        <v>2054</v>
      </c>
      <c r="D141" s="347">
        <f>IF(F140+SUM(E$99:E140)=D$92,F140,D$92-SUM(E$99:E140))</f>
        <v>72070.14000000013</v>
      </c>
      <c r="E141" s="487">
        <f t="shared" si="36"/>
        <v>72070.14000000013</v>
      </c>
      <c r="F141" s="486">
        <f t="shared" si="37"/>
        <v>0</v>
      </c>
      <c r="G141" s="486">
        <f t="shared" si="38"/>
        <v>36035.070000000065</v>
      </c>
      <c r="H141" s="489">
        <f t="shared" si="44"/>
        <v>75785.861147797477</v>
      </c>
      <c r="I141" s="543">
        <f t="shared" si="45"/>
        <v>75785.861147797477</v>
      </c>
      <c r="J141" s="479">
        <f t="shared" si="46"/>
        <v>0</v>
      </c>
      <c r="K141" s="479"/>
      <c r="L141" s="488"/>
      <c r="M141" s="479">
        <f t="shared" si="47"/>
        <v>0</v>
      </c>
      <c r="N141" s="488"/>
      <c r="O141" s="479">
        <f t="shared" si="48"/>
        <v>0</v>
      </c>
      <c r="P141" s="479">
        <f t="shared" si="49"/>
        <v>0</v>
      </c>
    </row>
    <row r="142" spans="2:16" ht="12.5">
      <c r="B142" s="160" t="str">
        <f t="shared" si="50"/>
        <v/>
      </c>
      <c r="C142" s="473">
        <f>IF(D93="","-",+C141+1)</f>
        <v>2055</v>
      </c>
      <c r="D142" s="347">
        <f>IF(F141+SUM(E$99:E141)=D$92,F141,D$92-SUM(E$99:E141))</f>
        <v>0</v>
      </c>
      <c r="E142" s="487">
        <f t="shared" si="36"/>
        <v>0</v>
      </c>
      <c r="F142" s="486">
        <f t="shared" si="37"/>
        <v>0</v>
      </c>
      <c r="G142" s="486">
        <f t="shared" si="38"/>
        <v>0</v>
      </c>
      <c r="H142" s="489">
        <f t="shared" si="44"/>
        <v>0</v>
      </c>
      <c r="I142" s="543">
        <f t="shared" si="45"/>
        <v>0</v>
      </c>
      <c r="J142" s="479">
        <f t="shared" si="46"/>
        <v>0</v>
      </c>
      <c r="K142" s="479"/>
      <c r="L142" s="488"/>
      <c r="M142" s="479">
        <f t="shared" si="47"/>
        <v>0</v>
      </c>
      <c r="N142" s="488"/>
      <c r="O142" s="479">
        <f t="shared" si="48"/>
        <v>0</v>
      </c>
      <c r="P142" s="479">
        <f t="shared" si="49"/>
        <v>0</v>
      </c>
    </row>
    <row r="143" spans="2:16" ht="12.5">
      <c r="B143" s="160" t="str">
        <f t="shared" si="50"/>
        <v/>
      </c>
      <c r="C143" s="473">
        <f>IF(D93="","-",+C142+1)</f>
        <v>2056</v>
      </c>
      <c r="D143" s="347">
        <f>IF(F142+SUM(E$99:E142)=D$92,F142,D$92-SUM(E$99:E142))</f>
        <v>0</v>
      </c>
      <c r="E143" s="487">
        <f t="shared" si="36"/>
        <v>0</v>
      </c>
      <c r="F143" s="486">
        <f t="shared" si="37"/>
        <v>0</v>
      </c>
      <c r="G143" s="486">
        <f t="shared" si="38"/>
        <v>0</v>
      </c>
      <c r="H143" s="489">
        <f t="shared" si="44"/>
        <v>0</v>
      </c>
      <c r="I143" s="543">
        <f t="shared" si="45"/>
        <v>0</v>
      </c>
      <c r="J143" s="479">
        <f t="shared" si="46"/>
        <v>0</v>
      </c>
      <c r="K143" s="479"/>
      <c r="L143" s="488"/>
      <c r="M143" s="479">
        <f t="shared" si="47"/>
        <v>0</v>
      </c>
      <c r="N143" s="488"/>
      <c r="O143" s="479">
        <f t="shared" si="48"/>
        <v>0</v>
      </c>
      <c r="P143" s="479">
        <f t="shared" si="49"/>
        <v>0</v>
      </c>
    </row>
    <row r="144" spans="2:16" ht="12.5">
      <c r="B144" s="160" t="str">
        <f t="shared" si="50"/>
        <v/>
      </c>
      <c r="C144" s="473">
        <f>IF(D93="","-",+C143+1)</f>
        <v>2057</v>
      </c>
      <c r="D144" s="347">
        <f>IF(F143+SUM(E$99:E143)=D$92,F143,D$92-SUM(E$99:E143))</f>
        <v>0</v>
      </c>
      <c r="E144" s="487">
        <f t="shared" si="36"/>
        <v>0</v>
      </c>
      <c r="F144" s="486">
        <f t="shared" si="37"/>
        <v>0</v>
      </c>
      <c r="G144" s="486">
        <f t="shared" si="38"/>
        <v>0</v>
      </c>
      <c r="H144" s="489">
        <f t="shared" si="44"/>
        <v>0</v>
      </c>
      <c r="I144" s="543">
        <f t="shared" si="45"/>
        <v>0</v>
      </c>
      <c r="J144" s="479">
        <f t="shared" si="46"/>
        <v>0</v>
      </c>
      <c r="K144" s="479"/>
      <c r="L144" s="488"/>
      <c r="M144" s="479">
        <f t="shared" si="47"/>
        <v>0</v>
      </c>
      <c r="N144" s="488"/>
      <c r="O144" s="479">
        <f t="shared" si="48"/>
        <v>0</v>
      </c>
      <c r="P144" s="479">
        <f t="shared" si="49"/>
        <v>0</v>
      </c>
    </row>
    <row r="145" spans="2:16" ht="12.5">
      <c r="B145" s="160" t="str">
        <f t="shared" si="50"/>
        <v/>
      </c>
      <c r="C145" s="473">
        <f>IF(D93="","-",+C144+1)</f>
        <v>2058</v>
      </c>
      <c r="D145" s="347">
        <f>IF(F144+SUM(E$99:E144)=D$92,F144,D$92-SUM(E$99:E144))</f>
        <v>0</v>
      </c>
      <c r="E145" s="487">
        <f t="shared" si="36"/>
        <v>0</v>
      </c>
      <c r="F145" s="486">
        <f t="shared" si="37"/>
        <v>0</v>
      </c>
      <c r="G145" s="486">
        <f t="shared" si="38"/>
        <v>0</v>
      </c>
      <c r="H145" s="489">
        <f t="shared" si="44"/>
        <v>0</v>
      </c>
      <c r="I145" s="543">
        <f t="shared" si="45"/>
        <v>0</v>
      </c>
      <c r="J145" s="479">
        <f t="shared" si="46"/>
        <v>0</v>
      </c>
      <c r="K145" s="479"/>
      <c r="L145" s="488"/>
      <c r="M145" s="479">
        <f t="shared" si="47"/>
        <v>0</v>
      </c>
      <c r="N145" s="488"/>
      <c r="O145" s="479">
        <f t="shared" si="48"/>
        <v>0</v>
      </c>
      <c r="P145" s="479">
        <f t="shared" si="49"/>
        <v>0</v>
      </c>
    </row>
    <row r="146" spans="2:16" ht="12.5">
      <c r="B146" s="160" t="str">
        <f t="shared" si="50"/>
        <v/>
      </c>
      <c r="C146" s="473">
        <f>IF(D93="","-",+C145+1)</f>
        <v>2059</v>
      </c>
      <c r="D146" s="347">
        <f>IF(F145+SUM(E$99:E145)=D$92,F145,D$92-SUM(E$99:E145))</f>
        <v>0</v>
      </c>
      <c r="E146" s="487">
        <f t="shared" si="36"/>
        <v>0</v>
      </c>
      <c r="F146" s="486">
        <f t="shared" si="37"/>
        <v>0</v>
      </c>
      <c r="G146" s="486">
        <f t="shared" si="38"/>
        <v>0</v>
      </c>
      <c r="H146" s="489">
        <f t="shared" si="44"/>
        <v>0</v>
      </c>
      <c r="I146" s="543">
        <f t="shared" si="45"/>
        <v>0</v>
      </c>
      <c r="J146" s="479">
        <f t="shared" si="46"/>
        <v>0</v>
      </c>
      <c r="K146" s="479"/>
      <c r="L146" s="488"/>
      <c r="M146" s="479">
        <f t="shared" si="47"/>
        <v>0</v>
      </c>
      <c r="N146" s="488"/>
      <c r="O146" s="479">
        <f t="shared" si="48"/>
        <v>0</v>
      </c>
      <c r="P146" s="479">
        <f t="shared" si="49"/>
        <v>0</v>
      </c>
    </row>
    <row r="147" spans="2:16" ht="12.5">
      <c r="B147" s="160" t="str">
        <f t="shared" si="50"/>
        <v/>
      </c>
      <c r="C147" s="473">
        <f>IF(D93="","-",+C146+1)</f>
        <v>2060</v>
      </c>
      <c r="D147" s="347">
        <f>IF(F146+SUM(E$99:E146)=D$92,F146,D$92-SUM(E$99:E146))</f>
        <v>0</v>
      </c>
      <c r="E147" s="487">
        <f t="shared" si="36"/>
        <v>0</v>
      </c>
      <c r="F147" s="486">
        <f t="shared" si="37"/>
        <v>0</v>
      </c>
      <c r="G147" s="486">
        <f t="shared" si="38"/>
        <v>0</v>
      </c>
      <c r="H147" s="489">
        <f t="shared" si="44"/>
        <v>0</v>
      </c>
      <c r="I147" s="543">
        <f t="shared" si="45"/>
        <v>0</v>
      </c>
      <c r="J147" s="479">
        <f t="shared" si="46"/>
        <v>0</v>
      </c>
      <c r="K147" s="479"/>
      <c r="L147" s="488"/>
      <c r="M147" s="479">
        <f t="shared" si="47"/>
        <v>0</v>
      </c>
      <c r="N147" s="488"/>
      <c r="O147" s="479">
        <f t="shared" si="48"/>
        <v>0</v>
      </c>
      <c r="P147" s="479">
        <f t="shared" si="49"/>
        <v>0</v>
      </c>
    </row>
    <row r="148" spans="2:16" ht="12.5">
      <c r="B148" s="160" t="str">
        <f t="shared" si="50"/>
        <v/>
      </c>
      <c r="C148" s="473">
        <f>IF(D93="","-",+C147+1)</f>
        <v>2061</v>
      </c>
      <c r="D148" s="347">
        <f>IF(F147+SUM(E$99:E147)=D$92,F147,D$92-SUM(E$99:E147))</f>
        <v>0</v>
      </c>
      <c r="E148" s="487">
        <f t="shared" si="36"/>
        <v>0</v>
      </c>
      <c r="F148" s="486">
        <f t="shared" si="37"/>
        <v>0</v>
      </c>
      <c r="G148" s="486">
        <f t="shared" si="38"/>
        <v>0</v>
      </c>
      <c r="H148" s="489">
        <f t="shared" si="44"/>
        <v>0</v>
      </c>
      <c r="I148" s="543">
        <f t="shared" si="45"/>
        <v>0</v>
      </c>
      <c r="J148" s="479">
        <f t="shared" si="46"/>
        <v>0</v>
      </c>
      <c r="K148" s="479"/>
      <c r="L148" s="488"/>
      <c r="M148" s="479">
        <f t="shared" si="47"/>
        <v>0</v>
      </c>
      <c r="N148" s="488"/>
      <c r="O148" s="479">
        <f t="shared" si="48"/>
        <v>0</v>
      </c>
      <c r="P148" s="479">
        <f t="shared" si="49"/>
        <v>0</v>
      </c>
    </row>
    <row r="149" spans="2:16" ht="12.5">
      <c r="B149" s="160" t="str">
        <f t="shared" si="50"/>
        <v/>
      </c>
      <c r="C149" s="473">
        <f>IF(D93="","-",+C148+1)</f>
        <v>2062</v>
      </c>
      <c r="D149" s="347">
        <f>IF(F148+SUM(E$99:E148)=D$92,F148,D$92-SUM(E$99:E148))</f>
        <v>0</v>
      </c>
      <c r="E149" s="487">
        <f t="shared" si="36"/>
        <v>0</v>
      </c>
      <c r="F149" s="486">
        <f t="shared" si="37"/>
        <v>0</v>
      </c>
      <c r="G149" s="486">
        <f t="shared" si="38"/>
        <v>0</v>
      </c>
      <c r="H149" s="489">
        <f t="shared" si="44"/>
        <v>0</v>
      </c>
      <c r="I149" s="543">
        <f t="shared" si="45"/>
        <v>0</v>
      </c>
      <c r="J149" s="479">
        <f t="shared" si="46"/>
        <v>0</v>
      </c>
      <c r="K149" s="479"/>
      <c r="L149" s="488"/>
      <c r="M149" s="479">
        <f t="shared" si="47"/>
        <v>0</v>
      </c>
      <c r="N149" s="488"/>
      <c r="O149" s="479">
        <f t="shared" si="48"/>
        <v>0</v>
      </c>
      <c r="P149" s="479">
        <f t="shared" si="49"/>
        <v>0</v>
      </c>
    </row>
    <row r="150" spans="2:16" ht="12.5">
      <c r="B150" s="160" t="str">
        <f t="shared" si="50"/>
        <v/>
      </c>
      <c r="C150" s="473">
        <f>IF(D93="","-",+C149+1)</f>
        <v>2063</v>
      </c>
      <c r="D150" s="347">
        <f>IF(F149+SUM(E$99:E149)=D$92,F149,D$92-SUM(E$99:E149))</f>
        <v>0</v>
      </c>
      <c r="E150" s="487">
        <f t="shared" si="36"/>
        <v>0</v>
      </c>
      <c r="F150" s="486">
        <f t="shared" si="37"/>
        <v>0</v>
      </c>
      <c r="G150" s="486">
        <f t="shared" si="38"/>
        <v>0</v>
      </c>
      <c r="H150" s="489">
        <f t="shared" si="44"/>
        <v>0</v>
      </c>
      <c r="I150" s="543">
        <f t="shared" si="45"/>
        <v>0</v>
      </c>
      <c r="J150" s="479">
        <f t="shared" si="46"/>
        <v>0</v>
      </c>
      <c r="K150" s="479"/>
      <c r="L150" s="488"/>
      <c r="M150" s="479">
        <f t="shared" si="47"/>
        <v>0</v>
      </c>
      <c r="N150" s="488"/>
      <c r="O150" s="479">
        <f t="shared" si="48"/>
        <v>0</v>
      </c>
      <c r="P150" s="479">
        <f t="shared" si="49"/>
        <v>0</v>
      </c>
    </row>
    <row r="151" spans="2:16" ht="12.5">
      <c r="B151" s="160" t="str">
        <f t="shared" si="50"/>
        <v/>
      </c>
      <c r="C151" s="473">
        <f>IF(D93="","-",+C150+1)</f>
        <v>2064</v>
      </c>
      <c r="D151" s="347">
        <f>IF(F150+SUM(E$99:E150)=D$92,F150,D$92-SUM(E$99:E150))</f>
        <v>0</v>
      </c>
      <c r="E151" s="487">
        <f t="shared" si="36"/>
        <v>0</v>
      </c>
      <c r="F151" s="486">
        <f t="shared" si="37"/>
        <v>0</v>
      </c>
      <c r="G151" s="486">
        <f t="shared" si="38"/>
        <v>0</v>
      </c>
      <c r="H151" s="489">
        <f t="shared" si="44"/>
        <v>0</v>
      </c>
      <c r="I151" s="543">
        <f t="shared" si="45"/>
        <v>0</v>
      </c>
      <c r="J151" s="479">
        <f t="shared" si="46"/>
        <v>0</v>
      </c>
      <c r="K151" s="479"/>
      <c r="L151" s="488"/>
      <c r="M151" s="479">
        <f t="shared" si="47"/>
        <v>0</v>
      </c>
      <c r="N151" s="488"/>
      <c r="O151" s="479">
        <f t="shared" si="48"/>
        <v>0</v>
      </c>
      <c r="P151" s="479">
        <f t="shared" si="49"/>
        <v>0</v>
      </c>
    </row>
    <row r="152" spans="2:16" ht="12.5">
      <c r="B152" s="160" t="str">
        <f t="shared" si="50"/>
        <v/>
      </c>
      <c r="C152" s="473">
        <f>IF(D93="","-",+C151+1)</f>
        <v>2065</v>
      </c>
      <c r="D152" s="347">
        <f>IF(F151+SUM(E$99:E151)=D$92,F151,D$92-SUM(E$99:E151))</f>
        <v>0</v>
      </c>
      <c r="E152" s="487">
        <f t="shared" si="36"/>
        <v>0</v>
      </c>
      <c r="F152" s="486">
        <f t="shared" si="37"/>
        <v>0</v>
      </c>
      <c r="G152" s="486">
        <f t="shared" si="38"/>
        <v>0</v>
      </c>
      <c r="H152" s="489">
        <f t="shared" si="44"/>
        <v>0</v>
      </c>
      <c r="I152" s="543">
        <f t="shared" si="45"/>
        <v>0</v>
      </c>
      <c r="J152" s="479">
        <f t="shared" si="46"/>
        <v>0</v>
      </c>
      <c r="K152" s="479"/>
      <c r="L152" s="488"/>
      <c r="M152" s="479">
        <f t="shared" si="47"/>
        <v>0</v>
      </c>
      <c r="N152" s="488"/>
      <c r="O152" s="479">
        <f t="shared" si="48"/>
        <v>0</v>
      </c>
      <c r="P152" s="479">
        <f t="shared" si="49"/>
        <v>0</v>
      </c>
    </row>
    <row r="153" spans="2:16" ht="12.5">
      <c r="B153" s="160" t="str">
        <f t="shared" si="50"/>
        <v/>
      </c>
      <c r="C153" s="473">
        <f>IF(D93="","-",+C152+1)</f>
        <v>2066</v>
      </c>
      <c r="D153" s="347">
        <f>IF(F152+SUM(E$99:E152)=D$92,F152,D$92-SUM(E$99:E152))</f>
        <v>0</v>
      </c>
      <c r="E153" s="487">
        <f t="shared" si="36"/>
        <v>0</v>
      </c>
      <c r="F153" s="486">
        <f t="shared" si="37"/>
        <v>0</v>
      </c>
      <c r="G153" s="486">
        <f t="shared" si="38"/>
        <v>0</v>
      </c>
      <c r="H153" s="489">
        <f t="shared" si="44"/>
        <v>0</v>
      </c>
      <c r="I153" s="543">
        <f t="shared" si="45"/>
        <v>0</v>
      </c>
      <c r="J153" s="479">
        <f t="shared" si="46"/>
        <v>0</v>
      </c>
      <c r="K153" s="479"/>
      <c r="L153" s="488"/>
      <c r="M153" s="479">
        <f t="shared" si="47"/>
        <v>0</v>
      </c>
      <c r="N153" s="488"/>
      <c r="O153" s="479">
        <f t="shared" si="48"/>
        <v>0</v>
      </c>
      <c r="P153" s="479">
        <f t="shared" si="49"/>
        <v>0</v>
      </c>
    </row>
    <row r="154" spans="2:16" ht="13" thickBot="1">
      <c r="B154" s="160" t="str">
        <f t="shared" si="50"/>
        <v/>
      </c>
      <c r="C154" s="490">
        <f>IF(D93="","-",+C153+1)</f>
        <v>2067</v>
      </c>
      <c r="D154" s="544">
        <f>IF(F153+SUM(E$99:E153)=D$92,F153,D$92-SUM(E$99:E153))</f>
        <v>0</v>
      </c>
      <c r="E154" s="545">
        <f t="shared" si="36"/>
        <v>0</v>
      </c>
      <c r="F154" s="491">
        <f t="shared" si="37"/>
        <v>0</v>
      </c>
      <c r="G154" s="491">
        <f t="shared" si="38"/>
        <v>0</v>
      </c>
      <c r="H154" s="493">
        <f t="shared" si="44"/>
        <v>0</v>
      </c>
      <c r="I154" s="546">
        <f t="shared" si="45"/>
        <v>0</v>
      </c>
      <c r="J154" s="496">
        <f t="shared" si="46"/>
        <v>0</v>
      </c>
      <c r="K154" s="479"/>
      <c r="L154" s="495"/>
      <c r="M154" s="496">
        <f t="shared" si="47"/>
        <v>0</v>
      </c>
      <c r="N154" s="495"/>
      <c r="O154" s="496">
        <f t="shared" si="48"/>
        <v>0</v>
      </c>
      <c r="P154" s="496">
        <f t="shared" si="49"/>
        <v>0</v>
      </c>
    </row>
    <row r="155" spans="2:16" ht="12.5">
      <c r="C155" s="347" t="s">
        <v>77</v>
      </c>
      <c r="D155" s="348"/>
      <c r="E155" s="348">
        <f>SUM(E99:E154)</f>
        <v>3305767.14</v>
      </c>
      <c r="F155" s="348"/>
      <c r="G155" s="348"/>
      <c r="H155" s="348">
        <f>SUM(H99:H154)</f>
        <v>11120139.190998172</v>
      </c>
      <c r="I155" s="348">
        <f>SUM(I99:I154)</f>
        <v>11120139.190998172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8:C72">
    <cfRule type="cellIs" dxfId="38" priority="2" stopIfTrue="1" operator="equal">
      <formula>$I$10</formula>
    </cfRule>
  </conditionalFormatting>
  <conditionalFormatting sqref="C99:C154">
    <cfRule type="cellIs" dxfId="37" priority="3" stopIfTrue="1" operator="equal">
      <formula>$J$92</formula>
    </cfRule>
  </conditionalFormatting>
  <conditionalFormatting sqref="C17">
    <cfRule type="cellIs" dxfId="36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13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2666.8814890183439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2666.8814890183439</v>
      </c>
      <c r="O6" s="233"/>
      <c r="P6" s="233"/>
    </row>
    <row r="7" spans="1:16" ht="13.5" thickBot="1">
      <c r="C7" s="432" t="s">
        <v>46</v>
      </c>
      <c r="D7" s="433" t="s">
        <v>259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239</v>
      </c>
      <c r="E9" s="578" t="s">
        <v>294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22097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2010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491.04444444444442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70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D11</f>
        <v>2010</v>
      </c>
      <c r="D17" s="474">
        <v>0</v>
      </c>
      <c r="E17" s="480">
        <v>0</v>
      </c>
      <c r="F17" s="480">
        <v>0</v>
      </c>
      <c r="G17" s="480">
        <v>0</v>
      </c>
      <c r="H17" s="589">
        <v>0</v>
      </c>
      <c r="I17" s="476">
        <f t="shared" ref="I17:I48" si="0">H17-G17</f>
        <v>0</v>
      </c>
      <c r="J17" s="349"/>
      <c r="K17" s="477">
        <f t="shared" ref="K17:K22" si="1">G17</f>
        <v>0</v>
      </c>
      <c r="L17" s="590">
        <f t="shared" ref="L17:L48" si="2">IF(K17&lt;&gt;0,+G17-K17,0)</f>
        <v>0</v>
      </c>
      <c r="M17" s="477">
        <f t="shared" ref="M17:M22" si="3">H17</f>
        <v>0</v>
      </c>
      <c r="N17" s="560">
        <f t="shared" ref="N17:N48" si="4">IF(M17&lt;&gt;0,+H17-M17,0)</f>
        <v>0</v>
      </c>
      <c r="O17" s="479">
        <f t="shared" ref="O17:O48" si="5">+N17-L17</f>
        <v>0</v>
      </c>
      <c r="P17" s="243"/>
    </row>
    <row r="18" spans="2:16" ht="12.5">
      <c r="B18" s="160" t="str">
        <f t="shared" ref="B18:B49" si="6">IF(D18=F17,"","IU")</f>
        <v/>
      </c>
      <c r="C18" s="473">
        <f>IF($D$11="","-",+C17+1)</f>
        <v>2011</v>
      </c>
      <c r="D18" s="474">
        <v>0</v>
      </c>
      <c r="E18" s="480">
        <v>0</v>
      </c>
      <c r="F18" s="480">
        <v>0</v>
      </c>
      <c r="G18" s="480">
        <v>0</v>
      </c>
      <c r="H18" s="589">
        <v>0</v>
      </c>
      <c r="I18" s="476">
        <f t="shared" si="0"/>
        <v>0</v>
      </c>
      <c r="J18" s="349"/>
      <c r="K18" s="477">
        <f t="shared" si="1"/>
        <v>0</v>
      </c>
      <c r="L18" s="349">
        <f t="shared" si="2"/>
        <v>0</v>
      </c>
      <c r="M18" s="477">
        <f t="shared" si="3"/>
        <v>0</v>
      </c>
      <c r="N18" s="476">
        <f t="shared" si="4"/>
        <v>0</v>
      </c>
      <c r="O18" s="479">
        <f t="shared" si="5"/>
        <v>0</v>
      </c>
      <c r="P18" s="243"/>
    </row>
    <row r="19" spans="2:16" ht="12.5">
      <c r="B19" s="160" t="str">
        <f t="shared" si="6"/>
        <v>IU</v>
      </c>
      <c r="C19" s="473">
        <f>IF(D11="","-",+C18+1)</f>
        <v>2012</v>
      </c>
      <c r="D19" s="474">
        <v>22097</v>
      </c>
      <c r="E19" s="481">
        <v>212.47115384615381</v>
      </c>
      <c r="F19" s="474">
        <v>21884.528846153848</v>
      </c>
      <c r="G19" s="481">
        <v>3258.944937760969</v>
      </c>
      <c r="H19" s="482">
        <v>3258.944937760969</v>
      </c>
      <c r="I19" s="476">
        <f>H19-G19</f>
        <v>0</v>
      </c>
      <c r="J19" s="349"/>
      <c r="K19" s="477">
        <f t="shared" si="1"/>
        <v>3258.944937760969</v>
      </c>
      <c r="L19" s="349">
        <f t="shared" si="2"/>
        <v>0</v>
      </c>
      <c r="M19" s="477">
        <f t="shared" si="3"/>
        <v>3258.944937760969</v>
      </c>
      <c r="N19" s="476">
        <f t="shared" si="4"/>
        <v>0</v>
      </c>
      <c r="O19" s="479">
        <f t="shared" si="5"/>
        <v>0</v>
      </c>
      <c r="P19" s="243"/>
    </row>
    <row r="20" spans="2:16" ht="12.5">
      <c r="B20" s="160" t="str">
        <f t="shared" si="6"/>
        <v/>
      </c>
      <c r="C20" s="473">
        <f>IF(D11="","-",+C19+1)</f>
        <v>2013</v>
      </c>
      <c r="D20" s="474">
        <v>21884.528846153848</v>
      </c>
      <c r="E20" s="481">
        <v>424.94230769230768</v>
      </c>
      <c r="F20" s="474">
        <v>21459.586538461539</v>
      </c>
      <c r="G20" s="481">
        <v>3489.9423076923076</v>
      </c>
      <c r="H20" s="482">
        <v>3489.9423076923076</v>
      </c>
      <c r="I20" s="476">
        <v>0</v>
      </c>
      <c r="J20" s="476"/>
      <c r="K20" s="477">
        <f t="shared" si="1"/>
        <v>3489.9423076923076</v>
      </c>
      <c r="L20" s="349">
        <f t="shared" ref="L20:L25" si="7">IF(K20&lt;&gt;0,+G20-K20,0)</f>
        <v>0</v>
      </c>
      <c r="M20" s="477">
        <f t="shared" si="3"/>
        <v>3489.9423076923076</v>
      </c>
      <c r="N20" s="476">
        <f t="shared" ref="N20:N25" si="8">IF(M20&lt;&gt;0,+H20-M20,0)</f>
        <v>0</v>
      </c>
      <c r="O20" s="479">
        <f t="shared" ref="O20:O25" si="9">+N20-L20</f>
        <v>0</v>
      </c>
      <c r="P20" s="243"/>
    </row>
    <row r="21" spans="2:16" ht="12.5">
      <c r="B21" s="160" t="str">
        <f t="shared" si="6"/>
        <v/>
      </c>
      <c r="C21" s="473">
        <f>IF(D11="","-",+C20+1)</f>
        <v>2014</v>
      </c>
      <c r="D21" s="474">
        <v>21459.586538461539</v>
      </c>
      <c r="E21" s="481">
        <v>424.94230769230768</v>
      </c>
      <c r="F21" s="474">
        <v>21034.64423076923</v>
      </c>
      <c r="G21" s="481">
        <v>3320.9423076923076</v>
      </c>
      <c r="H21" s="482">
        <v>3320.9423076923076</v>
      </c>
      <c r="I21" s="476">
        <v>0</v>
      </c>
      <c r="J21" s="476"/>
      <c r="K21" s="477">
        <f t="shared" si="1"/>
        <v>3320.9423076923076</v>
      </c>
      <c r="L21" s="349">
        <f t="shared" si="7"/>
        <v>0</v>
      </c>
      <c r="M21" s="477">
        <f t="shared" si="3"/>
        <v>3320.9423076923076</v>
      </c>
      <c r="N21" s="476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6"/>
        <v/>
      </c>
      <c r="C22" s="473">
        <f>IF(D11="","-",+C21+1)</f>
        <v>2015</v>
      </c>
      <c r="D22" s="474">
        <v>21034.64423076923</v>
      </c>
      <c r="E22" s="481">
        <v>424.94230769230768</v>
      </c>
      <c r="F22" s="474">
        <v>20609.701923076922</v>
      </c>
      <c r="G22" s="481">
        <v>3265.9423076923076</v>
      </c>
      <c r="H22" s="482">
        <v>3265.9423076923076</v>
      </c>
      <c r="I22" s="476">
        <v>0</v>
      </c>
      <c r="J22" s="476"/>
      <c r="K22" s="477">
        <f t="shared" si="1"/>
        <v>3265.9423076923076</v>
      </c>
      <c r="L22" s="349">
        <f t="shared" si="7"/>
        <v>0</v>
      </c>
      <c r="M22" s="477">
        <f t="shared" si="3"/>
        <v>3265.9423076923076</v>
      </c>
      <c r="N22" s="476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2016</v>
      </c>
      <c r="D23" s="474">
        <v>20609.701923076922</v>
      </c>
      <c r="E23" s="481">
        <v>424.94230769230768</v>
      </c>
      <c r="F23" s="474">
        <v>20184.759615384613</v>
      </c>
      <c r="G23" s="481">
        <v>3071.9423076923076</v>
      </c>
      <c r="H23" s="482">
        <v>3071.9423076923076</v>
      </c>
      <c r="I23" s="476">
        <f t="shared" si="0"/>
        <v>0</v>
      </c>
      <c r="J23" s="476"/>
      <c r="K23" s="477">
        <f>G23</f>
        <v>3071.9423076923076</v>
      </c>
      <c r="L23" s="349">
        <f t="shared" si="7"/>
        <v>0</v>
      </c>
      <c r="M23" s="477">
        <f>H23</f>
        <v>3071.9423076923076</v>
      </c>
      <c r="N23" s="476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2017</v>
      </c>
      <c r="D24" s="474">
        <v>20184.759615384613</v>
      </c>
      <c r="E24" s="481">
        <v>480.36956521739131</v>
      </c>
      <c r="F24" s="474">
        <v>19704.390050167221</v>
      </c>
      <c r="G24" s="481">
        <v>2988.3695652173915</v>
      </c>
      <c r="H24" s="482">
        <v>2988.3695652173915</v>
      </c>
      <c r="I24" s="476">
        <f t="shared" si="0"/>
        <v>0</v>
      </c>
      <c r="J24" s="476"/>
      <c r="K24" s="477">
        <f>G24</f>
        <v>2988.3695652173915</v>
      </c>
      <c r="L24" s="349">
        <f t="shared" si="7"/>
        <v>0</v>
      </c>
      <c r="M24" s="477">
        <f>H24</f>
        <v>2988.3695652173915</v>
      </c>
      <c r="N24" s="476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2018</v>
      </c>
      <c r="D25" s="474">
        <v>19704.390050167221</v>
      </c>
      <c r="E25" s="481">
        <v>491.04444444444442</v>
      </c>
      <c r="F25" s="474">
        <v>19213.345605722778</v>
      </c>
      <c r="G25" s="481">
        <v>2821.4178428916557</v>
      </c>
      <c r="H25" s="482">
        <v>2821.4178428916557</v>
      </c>
      <c r="I25" s="476">
        <f t="shared" si="0"/>
        <v>0</v>
      </c>
      <c r="J25" s="476"/>
      <c r="K25" s="477">
        <f>G25</f>
        <v>2821.4178428916557</v>
      </c>
      <c r="L25" s="349">
        <f t="shared" si="7"/>
        <v>0</v>
      </c>
      <c r="M25" s="477">
        <f>H25</f>
        <v>2821.4178428916557</v>
      </c>
      <c r="N25" s="476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2019</v>
      </c>
      <c r="D26" s="474">
        <v>19213.345605722778</v>
      </c>
      <c r="E26" s="481">
        <v>552.42499999999995</v>
      </c>
      <c r="F26" s="474">
        <v>18660.920605722778</v>
      </c>
      <c r="G26" s="481">
        <v>2666.8814890183439</v>
      </c>
      <c r="H26" s="482">
        <v>2666.8814890183439</v>
      </c>
      <c r="I26" s="476">
        <f t="shared" si="0"/>
        <v>0</v>
      </c>
      <c r="J26" s="476"/>
      <c r="K26" s="477">
        <f>G26</f>
        <v>2666.8814890183439</v>
      </c>
      <c r="L26" s="349">
        <f t="shared" ref="L26" si="10">IF(K26&lt;&gt;0,+G26-K26,0)</f>
        <v>0</v>
      </c>
      <c r="M26" s="477">
        <f>H26</f>
        <v>2666.8814890183439</v>
      </c>
      <c r="N26" s="476">
        <f t="shared" ref="N26" si="11">IF(M26&lt;&gt;0,+H26-M26,0)</f>
        <v>0</v>
      </c>
      <c r="O26" s="479">
        <f t="shared" si="5"/>
        <v>0</v>
      </c>
      <c r="P26" s="243"/>
    </row>
    <row r="27" spans="2:16" ht="12.5">
      <c r="B27" s="160" t="str">
        <f t="shared" si="6"/>
        <v/>
      </c>
      <c r="C27" s="473">
        <f>IF(D11="","-",+C26+1)</f>
        <v>2020</v>
      </c>
      <c r="D27" s="484">
        <f>IF(F26+SUM(E$17:E26)=D$10,F26,D$10-SUM(E$17:E26))</f>
        <v>18660.920605722778</v>
      </c>
      <c r="E27" s="485">
        <f>IF(+I14&lt;F26,I14,D27)</f>
        <v>491.04444444444442</v>
      </c>
      <c r="F27" s="486">
        <f t="shared" ref="F27:F48" si="12">+D27-E27</f>
        <v>18169.876161278335</v>
      </c>
      <c r="G27" s="487">
        <f t="shared" ref="G27:G49" si="13">ROUND(I$12*F27,0)+E27</f>
        <v>2950.0444444444443</v>
      </c>
      <c r="H27" s="456">
        <f t="shared" ref="H27:H49" si="14">ROUND(I$13*F27,0)+E27</f>
        <v>2950.0444444444443</v>
      </c>
      <c r="I27" s="476">
        <f t="shared" si="0"/>
        <v>0</v>
      </c>
      <c r="J27" s="476"/>
      <c r="K27" s="488"/>
      <c r="L27" s="479">
        <f t="shared" si="2"/>
        <v>0</v>
      </c>
      <c r="M27" s="488"/>
      <c r="N27" s="479">
        <f t="shared" si="4"/>
        <v>0</v>
      </c>
      <c r="O27" s="479">
        <f t="shared" si="5"/>
        <v>0</v>
      </c>
      <c r="P27" s="243"/>
    </row>
    <row r="28" spans="2:16" ht="12.5">
      <c r="B28" s="160" t="str">
        <f t="shared" si="6"/>
        <v/>
      </c>
      <c r="C28" s="473">
        <f>IF(D11="","-",+C27+1)</f>
        <v>2021</v>
      </c>
      <c r="D28" s="486">
        <f>IF(F27+SUM(E$17:E27)=D$10,F27,D$10-SUM(E$17:E27))</f>
        <v>18169.876161278335</v>
      </c>
      <c r="E28" s="485">
        <f>IF(+I14&lt;F27,I14,D28)</f>
        <v>491.04444444444442</v>
      </c>
      <c r="F28" s="486">
        <f t="shared" si="12"/>
        <v>17678.831716833891</v>
      </c>
      <c r="G28" s="487">
        <f t="shared" si="13"/>
        <v>2884.0444444444443</v>
      </c>
      <c r="H28" s="456">
        <f t="shared" si="14"/>
        <v>2884.0444444444443</v>
      </c>
      <c r="I28" s="476">
        <f t="shared" si="0"/>
        <v>0</v>
      </c>
      <c r="J28" s="476"/>
      <c r="K28" s="488"/>
      <c r="L28" s="479">
        <f t="shared" si="2"/>
        <v>0</v>
      </c>
      <c r="M28" s="488"/>
      <c r="N28" s="479">
        <f t="shared" si="4"/>
        <v>0</v>
      </c>
      <c r="O28" s="479">
        <f t="shared" si="5"/>
        <v>0</v>
      </c>
      <c r="P28" s="243"/>
    </row>
    <row r="29" spans="2:16" ht="12.5">
      <c r="B29" s="160" t="str">
        <f t="shared" si="6"/>
        <v/>
      </c>
      <c r="C29" s="473">
        <f>IF(D11="","-",+C28+1)</f>
        <v>2022</v>
      </c>
      <c r="D29" s="486">
        <f>IF(F28+SUM(E$17:E28)=D$10,F28,D$10-SUM(E$17:E28))</f>
        <v>17678.831716833891</v>
      </c>
      <c r="E29" s="485">
        <f>IF(+I14&lt;F28,I14,D29)</f>
        <v>491.04444444444442</v>
      </c>
      <c r="F29" s="486">
        <f t="shared" si="12"/>
        <v>17187.787272389447</v>
      </c>
      <c r="G29" s="487">
        <f t="shared" si="13"/>
        <v>2817.0444444444443</v>
      </c>
      <c r="H29" s="456">
        <f t="shared" si="14"/>
        <v>2817.0444444444443</v>
      </c>
      <c r="I29" s="476">
        <f t="shared" si="0"/>
        <v>0</v>
      </c>
      <c r="J29" s="476"/>
      <c r="K29" s="488"/>
      <c r="L29" s="479">
        <f t="shared" si="2"/>
        <v>0</v>
      </c>
      <c r="M29" s="488"/>
      <c r="N29" s="479">
        <f t="shared" si="4"/>
        <v>0</v>
      </c>
      <c r="O29" s="479">
        <f t="shared" si="5"/>
        <v>0</v>
      </c>
      <c r="P29" s="243"/>
    </row>
    <row r="30" spans="2:16" ht="12.5">
      <c r="B30" s="160" t="str">
        <f t="shared" si="6"/>
        <v/>
      </c>
      <c r="C30" s="473">
        <f>IF(D11="","-",+C29+1)</f>
        <v>2023</v>
      </c>
      <c r="D30" s="486">
        <f>IF(F29+SUM(E$17:E29)=D$10,F29,D$10-SUM(E$17:E29))</f>
        <v>17187.787272389447</v>
      </c>
      <c r="E30" s="485">
        <f>IF(+I14&lt;F29,I14,D30)</f>
        <v>491.04444444444442</v>
      </c>
      <c r="F30" s="486">
        <f t="shared" si="12"/>
        <v>16696.742827945003</v>
      </c>
      <c r="G30" s="487">
        <f t="shared" si="13"/>
        <v>2751.0444444444443</v>
      </c>
      <c r="H30" s="456">
        <f t="shared" si="14"/>
        <v>2751.0444444444443</v>
      </c>
      <c r="I30" s="476">
        <f t="shared" si="0"/>
        <v>0</v>
      </c>
      <c r="J30" s="476"/>
      <c r="K30" s="488"/>
      <c r="L30" s="479">
        <f t="shared" si="2"/>
        <v>0</v>
      </c>
      <c r="M30" s="488"/>
      <c r="N30" s="479">
        <f t="shared" si="4"/>
        <v>0</v>
      </c>
      <c r="O30" s="479">
        <f t="shared" si="5"/>
        <v>0</v>
      </c>
      <c r="P30" s="243"/>
    </row>
    <row r="31" spans="2:16" ht="12.5">
      <c r="B31" s="160" t="str">
        <f t="shared" si="6"/>
        <v/>
      </c>
      <c r="C31" s="473">
        <f>IF(D11="","-",+C30+1)</f>
        <v>2024</v>
      </c>
      <c r="D31" s="486">
        <f>IF(F30+SUM(E$17:E30)=D$10,F30,D$10-SUM(E$17:E30))</f>
        <v>16696.742827945003</v>
      </c>
      <c r="E31" s="485">
        <f>IF(+I14&lt;F30,I14,D31)</f>
        <v>491.04444444444442</v>
      </c>
      <c r="F31" s="486">
        <f t="shared" si="12"/>
        <v>16205.698383500559</v>
      </c>
      <c r="G31" s="487">
        <f t="shared" si="13"/>
        <v>2684.0444444444443</v>
      </c>
      <c r="H31" s="456">
        <f t="shared" si="14"/>
        <v>2684.0444444444443</v>
      </c>
      <c r="I31" s="476">
        <f t="shared" si="0"/>
        <v>0</v>
      </c>
      <c r="J31" s="476"/>
      <c r="K31" s="488"/>
      <c r="L31" s="479">
        <f t="shared" si="2"/>
        <v>0</v>
      </c>
      <c r="M31" s="488"/>
      <c r="N31" s="479">
        <f t="shared" si="4"/>
        <v>0</v>
      </c>
      <c r="O31" s="479">
        <f t="shared" si="5"/>
        <v>0</v>
      </c>
      <c r="P31" s="243"/>
    </row>
    <row r="32" spans="2:16" ht="12.5">
      <c r="B32" s="160" t="str">
        <f t="shared" si="6"/>
        <v/>
      </c>
      <c r="C32" s="473">
        <f>IF(D11="","-",+C31+1)</f>
        <v>2025</v>
      </c>
      <c r="D32" s="486">
        <f>IF(F31+SUM(E$17:E31)=D$10,F31,D$10-SUM(E$17:E31))</f>
        <v>16205.698383500559</v>
      </c>
      <c r="E32" s="485">
        <f>IF(+I14&lt;F31,I14,D32)</f>
        <v>491.04444444444442</v>
      </c>
      <c r="F32" s="486">
        <f t="shared" si="12"/>
        <v>15714.653939056116</v>
      </c>
      <c r="G32" s="487">
        <f t="shared" si="13"/>
        <v>2618.0444444444443</v>
      </c>
      <c r="H32" s="456">
        <f t="shared" si="14"/>
        <v>2618.0444444444443</v>
      </c>
      <c r="I32" s="476">
        <f t="shared" si="0"/>
        <v>0</v>
      </c>
      <c r="J32" s="476"/>
      <c r="K32" s="488"/>
      <c r="L32" s="479">
        <f t="shared" si="2"/>
        <v>0</v>
      </c>
      <c r="M32" s="488"/>
      <c r="N32" s="479">
        <f t="shared" si="4"/>
        <v>0</v>
      </c>
      <c r="O32" s="479">
        <f t="shared" si="5"/>
        <v>0</v>
      </c>
      <c r="P32" s="243"/>
    </row>
    <row r="33" spans="2:16" ht="12.5">
      <c r="B33" s="160" t="str">
        <f t="shared" si="6"/>
        <v/>
      </c>
      <c r="C33" s="473">
        <f>IF(D11="","-",+C32+1)</f>
        <v>2026</v>
      </c>
      <c r="D33" s="486">
        <f>IF(F32+SUM(E$17:E32)=D$10,F32,D$10-SUM(E$17:E32))</f>
        <v>15714.653939056116</v>
      </c>
      <c r="E33" s="485">
        <f>IF(+I14&lt;F32,I14,D33)</f>
        <v>491.04444444444442</v>
      </c>
      <c r="F33" s="486">
        <f t="shared" si="12"/>
        <v>15223.609494611672</v>
      </c>
      <c r="G33" s="487">
        <f t="shared" si="13"/>
        <v>2551.0444444444443</v>
      </c>
      <c r="H33" s="456">
        <f t="shared" si="14"/>
        <v>2551.0444444444443</v>
      </c>
      <c r="I33" s="476">
        <f t="shared" si="0"/>
        <v>0</v>
      </c>
      <c r="J33" s="476"/>
      <c r="K33" s="488"/>
      <c r="L33" s="479">
        <f t="shared" si="2"/>
        <v>0</v>
      </c>
      <c r="M33" s="488"/>
      <c r="N33" s="479">
        <f t="shared" si="4"/>
        <v>0</v>
      </c>
      <c r="O33" s="479">
        <f t="shared" si="5"/>
        <v>0</v>
      </c>
      <c r="P33" s="243"/>
    </row>
    <row r="34" spans="2:16" ht="12.5">
      <c r="B34" s="160" t="str">
        <f t="shared" si="6"/>
        <v/>
      </c>
      <c r="C34" s="473">
        <f>IF(D11="","-",+C33+1)</f>
        <v>2027</v>
      </c>
      <c r="D34" s="486">
        <f>IF(F33+SUM(E$17:E33)=D$10,F33,D$10-SUM(E$17:E33))</f>
        <v>15223.609494611672</v>
      </c>
      <c r="E34" s="485">
        <f>IF(+I14&lt;F33,I14,D34)</f>
        <v>491.04444444444442</v>
      </c>
      <c r="F34" s="486">
        <f t="shared" si="12"/>
        <v>14732.565050167228</v>
      </c>
      <c r="G34" s="487">
        <f t="shared" si="13"/>
        <v>2485.0444444444443</v>
      </c>
      <c r="H34" s="456">
        <f t="shared" si="14"/>
        <v>2485.0444444444443</v>
      </c>
      <c r="I34" s="476">
        <f t="shared" si="0"/>
        <v>0</v>
      </c>
      <c r="J34" s="476"/>
      <c r="K34" s="488"/>
      <c r="L34" s="479">
        <f t="shared" si="2"/>
        <v>0</v>
      </c>
      <c r="M34" s="488"/>
      <c r="N34" s="479">
        <f t="shared" si="4"/>
        <v>0</v>
      </c>
      <c r="O34" s="479">
        <f t="shared" si="5"/>
        <v>0</v>
      </c>
      <c r="P34" s="243"/>
    </row>
    <row r="35" spans="2:16" ht="12.5">
      <c r="B35" s="160" t="str">
        <f t="shared" si="6"/>
        <v/>
      </c>
      <c r="C35" s="473">
        <f>IF(D11="","-",+C34+1)</f>
        <v>2028</v>
      </c>
      <c r="D35" s="486">
        <f>IF(F34+SUM(E$17:E34)=D$10,F34,D$10-SUM(E$17:E34))</f>
        <v>14732.565050167228</v>
      </c>
      <c r="E35" s="485">
        <f>IF(+I14&lt;F34,I14,D35)</f>
        <v>491.04444444444442</v>
      </c>
      <c r="F35" s="486">
        <f t="shared" si="12"/>
        <v>14241.520605722784</v>
      </c>
      <c r="G35" s="487">
        <f t="shared" si="13"/>
        <v>2418.0444444444443</v>
      </c>
      <c r="H35" s="456">
        <f t="shared" si="14"/>
        <v>2418.0444444444443</v>
      </c>
      <c r="I35" s="476">
        <f t="shared" si="0"/>
        <v>0</v>
      </c>
      <c r="J35" s="476"/>
      <c r="K35" s="488"/>
      <c r="L35" s="479">
        <f t="shared" si="2"/>
        <v>0</v>
      </c>
      <c r="M35" s="488"/>
      <c r="N35" s="479">
        <f t="shared" si="4"/>
        <v>0</v>
      </c>
      <c r="O35" s="479">
        <f t="shared" si="5"/>
        <v>0</v>
      </c>
      <c r="P35" s="243"/>
    </row>
    <row r="36" spans="2:16" ht="12.5">
      <c r="B36" s="160" t="str">
        <f t="shared" si="6"/>
        <v/>
      </c>
      <c r="C36" s="473">
        <f>IF(D11="","-",+C35+1)</f>
        <v>2029</v>
      </c>
      <c r="D36" s="486">
        <f>IF(F35+SUM(E$17:E35)=D$10,F35,D$10-SUM(E$17:E35))</f>
        <v>14241.520605722784</v>
      </c>
      <c r="E36" s="485">
        <f>IF(+I14&lt;F35,I14,D36)</f>
        <v>491.04444444444442</v>
      </c>
      <c r="F36" s="486">
        <f t="shared" si="12"/>
        <v>13750.47616127834</v>
      </c>
      <c r="G36" s="487">
        <f t="shared" si="13"/>
        <v>2352.0444444444443</v>
      </c>
      <c r="H36" s="456">
        <f t="shared" si="14"/>
        <v>2352.0444444444443</v>
      </c>
      <c r="I36" s="476">
        <f t="shared" si="0"/>
        <v>0</v>
      </c>
      <c r="J36" s="476"/>
      <c r="K36" s="488"/>
      <c r="L36" s="479">
        <f t="shared" si="2"/>
        <v>0</v>
      </c>
      <c r="M36" s="488"/>
      <c r="N36" s="479">
        <f t="shared" si="4"/>
        <v>0</v>
      </c>
      <c r="O36" s="479">
        <f t="shared" si="5"/>
        <v>0</v>
      </c>
      <c r="P36" s="243"/>
    </row>
    <row r="37" spans="2:16" ht="12.5">
      <c r="B37" s="160" t="str">
        <f t="shared" si="6"/>
        <v/>
      </c>
      <c r="C37" s="473">
        <f>IF(D11="","-",+C36+1)</f>
        <v>2030</v>
      </c>
      <c r="D37" s="486">
        <f>IF(F36+SUM(E$17:E36)=D$10,F36,D$10-SUM(E$17:E36))</f>
        <v>13750.47616127834</v>
      </c>
      <c r="E37" s="485">
        <f>IF(+I14&lt;F36,I14,D37)</f>
        <v>491.04444444444442</v>
      </c>
      <c r="F37" s="486">
        <f t="shared" si="12"/>
        <v>13259.431716833897</v>
      </c>
      <c r="G37" s="487">
        <f t="shared" si="13"/>
        <v>2285.0444444444443</v>
      </c>
      <c r="H37" s="456">
        <f t="shared" si="14"/>
        <v>2285.0444444444443</v>
      </c>
      <c r="I37" s="476">
        <f t="shared" si="0"/>
        <v>0</v>
      </c>
      <c r="J37" s="476"/>
      <c r="K37" s="488"/>
      <c r="L37" s="479">
        <f t="shared" si="2"/>
        <v>0</v>
      </c>
      <c r="M37" s="488"/>
      <c r="N37" s="479">
        <f t="shared" si="4"/>
        <v>0</v>
      </c>
      <c r="O37" s="479">
        <f t="shared" si="5"/>
        <v>0</v>
      </c>
      <c r="P37" s="243"/>
    </row>
    <row r="38" spans="2:16" ht="12.5">
      <c r="B38" s="160" t="str">
        <f t="shared" si="6"/>
        <v/>
      </c>
      <c r="C38" s="473">
        <f>IF(D11="","-",+C37+1)</f>
        <v>2031</v>
      </c>
      <c r="D38" s="486">
        <f>IF(F37+SUM(E$17:E37)=D$10,F37,D$10-SUM(E$17:E37))</f>
        <v>13259.431716833897</v>
      </c>
      <c r="E38" s="485">
        <f>IF(+I14&lt;F37,I14,D38)</f>
        <v>491.04444444444442</v>
      </c>
      <c r="F38" s="486">
        <f t="shared" si="12"/>
        <v>12768.387272389453</v>
      </c>
      <c r="G38" s="487">
        <f t="shared" si="13"/>
        <v>2219.0444444444443</v>
      </c>
      <c r="H38" s="456">
        <f t="shared" si="14"/>
        <v>2219.0444444444443</v>
      </c>
      <c r="I38" s="476">
        <f t="shared" si="0"/>
        <v>0</v>
      </c>
      <c r="J38" s="476"/>
      <c r="K38" s="488"/>
      <c r="L38" s="479">
        <f t="shared" si="2"/>
        <v>0</v>
      </c>
      <c r="M38" s="488"/>
      <c r="N38" s="479">
        <f t="shared" si="4"/>
        <v>0</v>
      </c>
      <c r="O38" s="479">
        <f t="shared" si="5"/>
        <v>0</v>
      </c>
      <c r="P38" s="243"/>
    </row>
    <row r="39" spans="2:16" ht="12.5">
      <c r="B39" s="160" t="str">
        <f t="shared" si="6"/>
        <v/>
      </c>
      <c r="C39" s="473">
        <f>IF(D11="","-",+C38+1)</f>
        <v>2032</v>
      </c>
      <c r="D39" s="486">
        <f>IF(F38+SUM(E$17:E38)=D$10,F38,D$10-SUM(E$17:E38))</f>
        <v>12768.387272389453</v>
      </c>
      <c r="E39" s="485">
        <f>IF(+I14&lt;F38,I14,D39)</f>
        <v>491.04444444444442</v>
      </c>
      <c r="F39" s="486">
        <f t="shared" si="12"/>
        <v>12277.342827945009</v>
      </c>
      <c r="G39" s="487">
        <f t="shared" si="13"/>
        <v>2153.0444444444443</v>
      </c>
      <c r="H39" s="456">
        <f t="shared" si="14"/>
        <v>2153.0444444444443</v>
      </c>
      <c r="I39" s="476">
        <f t="shared" si="0"/>
        <v>0</v>
      </c>
      <c r="J39" s="476"/>
      <c r="K39" s="488"/>
      <c r="L39" s="479">
        <f t="shared" si="2"/>
        <v>0</v>
      </c>
      <c r="M39" s="488"/>
      <c r="N39" s="479">
        <f t="shared" si="4"/>
        <v>0</v>
      </c>
      <c r="O39" s="479">
        <f t="shared" si="5"/>
        <v>0</v>
      </c>
      <c r="P39" s="243"/>
    </row>
    <row r="40" spans="2:16" ht="12.5">
      <c r="B40" s="160" t="str">
        <f t="shared" si="6"/>
        <v/>
      </c>
      <c r="C40" s="473">
        <f>IF(D11="","-",+C39+1)</f>
        <v>2033</v>
      </c>
      <c r="D40" s="486">
        <f>IF(F39+SUM(E$17:E39)=D$10,F39,D$10-SUM(E$17:E39))</f>
        <v>12277.342827945009</v>
      </c>
      <c r="E40" s="485">
        <f>IF(+I14&lt;F39,I14,D40)</f>
        <v>491.04444444444442</v>
      </c>
      <c r="F40" s="486">
        <f t="shared" si="12"/>
        <v>11786.298383500565</v>
      </c>
      <c r="G40" s="487">
        <f t="shared" si="13"/>
        <v>2086.0444444444443</v>
      </c>
      <c r="H40" s="456">
        <f t="shared" si="14"/>
        <v>2086.0444444444443</v>
      </c>
      <c r="I40" s="476">
        <f t="shared" si="0"/>
        <v>0</v>
      </c>
      <c r="J40" s="476"/>
      <c r="K40" s="488"/>
      <c r="L40" s="479">
        <f t="shared" si="2"/>
        <v>0</v>
      </c>
      <c r="M40" s="488"/>
      <c r="N40" s="479">
        <f t="shared" si="4"/>
        <v>0</v>
      </c>
      <c r="O40" s="479">
        <f t="shared" si="5"/>
        <v>0</v>
      </c>
      <c r="P40" s="243"/>
    </row>
    <row r="41" spans="2:16" ht="12.5">
      <c r="B41" s="160" t="str">
        <f t="shared" si="6"/>
        <v/>
      </c>
      <c r="C41" s="473">
        <f>IF(D11="","-",+C40+1)</f>
        <v>2034</v>
      </c>
      <c r="D41" s="486">
        <f>IF(F40+SUM(E$17:E40)=D$10,F40,D$10-SUM(E$17:E40))</f>
        <v>11786.298383500565</v>
      </c>
      <c r="E41" s="485">
        <f>IF(+I14&lt;F40,I14,D41)</f>
        <v>491.04444444444442</v>
      </c>
      <c r="F41" s="486">
        <f t="shared" si="12"/>
        <v>11295.253939056121</v>
      </c>
      <c r="G41" s="487">
        <f t="shared" si="13"/>
        <v>2020.0444444444445</v>
      </c>
      <c r="H41" s="456">
        <f t="shared" si="14"/>
        <v>2020.0444444444445</v>
      </c>
      <c r="I41" s="476">
        <f t="shared" si="0"/>
        <v>0</v>
      </c>
      <c r="J41" s="476"/>
      <c r="K41" s="488"/>
      <c r="L41" s="479">
        <f t="shared" si="2"/>
        <v>0</v>
      </c>
      <c r="M41" s="488"/>
      <c r="N41" s="479">
        <f t="shared" si="4"/>
        <v>0</v>
      </c>
      <c r="O41" s="479">
        <f t="shared" si="5"/>
        <v>0</v>
      </c>
      <c r="P41" s="243"/>
    </row>
    <row r="42" spans="2:16" ht="12.5">
      <c r="B42" s="160" t="str">
        <f t="shared" si="6"/>
        <v/>
      </c>
      <c r="C42" s="473">
        <f>IF(D11="","-",+C41+1)</f>
        <v>2035</v>
      </c>
      <c r="D42" s="486">
        <f>IF(F41+SUM(E$17:E41)=D$10,F41,D$10-SUM(E$17:E41))</f>
        <v>11295.253939056121</v>
      </c>
      <c r="E42" s="485">
        <f>IF(+I14&lt;F41,I14,D42)</f>
        <v>491.04444444444442</v>
      </c>
      <c r="F42" s="486">
        <f t="shared" si="12"/>
        <v>10804.209494611678</v>
      </c>
      <c r="G42" s="487">
        <f t="shared" si="13"/>
        <v>1953.0444444444445</v>
      </c>
      <c r="H42" s="456">
        <f t="shared" si="14"/>
        <v>1953.0444444444445</v>
      </c>
      <c r="I42" s="476">
        <f t="shared" si="0"/>
        <v>0</v>
      </c>
      <c r="J42" s="476"/>
      <c r="K42" s="488"/>
      <c r="L42" s="479">
        <f t="shared" si="2"/>
        <v>0</v>
      </c>
      <c r="M42" s="488"/>
      <c r="N42" s="479">
        <f t="shared" si="4"/>
        <v>0</v>
      </c>
      <c r="O42" s="479">
        <f t="shared" si="5"/>
        <v>0</v>
      </c>
      <c r="P42" s="243"/>
    </row>
    <row r="43" spans="2:16" ht="12.5">
      <c r="B43" s="160" t="str">
        <f t="shared" si="6"/>
        <v/>
      </c>
      <c r="C43" s="473">
        <f>IF(D11="","-",+C42+1)</f>
        <v>2036</v>
      </c>
      <c r="D43" s="486">
        <f>IF(F42+SUM(E$17:E42)=D$10,F42,D$10-SUM(E$17:E42))</f>
        <v>10804.209494611678</v>
      </c>
      <c r="E43" s="485">
        <f>IF(+I14&lt;F42,I14,D43)</f>
        <v>491.04444444444442</v>
      </c>
      <c r="F43" s="486">
        <f t="shared" si="12"/>
        <v>10313.165050167234</v>
      </c>
      <c r="G43" s="487">
        <f t="shared" si="13"/>
        <v>1887.0444444444445</v>
      </c>
      <c r="H43" s="456">
        <f t="shared" si="14"/>
        <v>1887.0444444444445</v>
      </c>
      <c r="I43" s="476">
        <f t="shared" si="0"/>
        <v>0</v>
      </c>
      <c r="J43" s="476"/>
      <c r="K43" s="488"/>
      <c r="L43" s="479">
        <f t="shared" si="2"/>
        <v>0</v>
      </c>
      <c r="M43" s="488"/>
      <c r="N43" s="479">
        <f t="shared" si="4"/>
        <v>0</v>
      </c>
      <c r="O43" s="479">
        <f t="shared" si="5"/>
        <v>0</v>
      </c>
      <c r="P43" s="243"/>
    </row>
    <row r="44" spans="2:16" ht="12.5">
      <c r="B44" s="160" t="str">
        <f t="shared" si="6"/>
        <v/>
      </c>
      <c r="C44" s="473">
        <f>IF(D11="","-",+C43+1)</f>
        <v>2037</v>
      </c>
      <c r="D44" s="486">
        <f>IF(F43+SUM(E$17:E43)=D$10,F43,D$10-SUM(E$17:E43))</f>
        <v>10313.165050167234</v>
      </c>
      <c r="E44" s="485">
        <f>IF(+I14&lt;F43,I14,D44)</f>
        <v>491.04444444444442</v>
      </c>
      <c r="F44" s="486">
        <f t="shared" si="12"/>
        <v>9822.1206057227901</v>
      </c>
      <c r="G44" s="487">
        <f t="shared" si="13"/>
        <v>1820.0444444444445</v>
      </c>
      <c r="H44" s="456">
        <f t="shared" si="14"/>
        <v>1820.0444444444445</v>
      </c>
      <c r="I44" s="476">
        <f t="shared" si="0"/>
        <v>0</v>
      </c>
      <c r="J44" s="476"/>
      <c r="K44" s="488"/>
      <c r="L44" s="479">
        <f t="shared" si="2"/>
        <v>0</v>
      </c>
      <c r="M44" s="488"/>
      <c r="N44" s="479">
        <f t="shared" si="4"/>
        <v>0</v>
      </c>
      <c r="O44" s="479">
        <f t="shared" si="5"/>
        <v>0</v>
      </c>
      <c r="P44" s="243"/>
    </row>
    <row r="45" spans="2:16" ht="12.5">
      <c r="B45" s="160" t="str">
        <f t="shared" si="6"/>
        <v/>
      </c>
      <c r="C45" s="473">
        <f>IF(D11="","-",+C44+1)</f>
        <v>2038</v>
      </c>
      <c r="D45" s="486">
        <f>IF(F44+SUM(E$17:E44)=D$10,F44,D$10-SUM(E$17:E44))</f>
        <v>9822.1206057227901</v>
      </c>
      <c r="E45" s="485">
        <f>IF(+I14&lt;F44,I14,D45)</f>
        <v>491.04444444444442</v>
      </c>
      <c r="F45" s="486">
        <f t="shared" si="12"/>
        <v>9331.0761612783463</v>
      </c>
      <c r="G45" s="487">
        <f t="shared" si="13"/>
        <v>1754.0444444444445</v>
      </c>
      <c r="H45" s="456">
        <f t="shared" si="14"/>
        <v>1754.0444444444445</v>
      </c>
      <c r="I45" s="476">
        <f t="shared" si="0"/>
        <v>0</v>
      </c>
      <c r="J45" s="476"/>
      <c r="K45" s="488"/>
      <c r="L45" s="479">
        <f t="shared" si="2"/>
        <v>0</v>
      </c>
      <c r="M45" s="488"/>
      <c r="N45" s="479">
        <f t="shared" si="4"/>
        <v>0</v>
      </c>
      <c r="O45" s="479">
        <f t="shared" si="5"/>
        <v>0</v>
      </c>
      <c r="P45" s="243"/>
    </row>
    <row r="46" spans="2:16" ht="12.5">
      <c r="B46" s="160" t="str">
        <f t="shared" si="6"/>
        <v/>
      </c>
      <c r="C46" s="473">
        <f>IF(D11="","-",+C45+1)</f>
        <v>2039</v>
      </c>
      <c r="D46" s="486">
        <f>IF(F45+SUM(E$17:E45)=D$10,F45,D$10-SUM(E$17:E45))</f>
        <v>9331.0761612783463</v>
      </c>
      <c r="E46" s="485">
        <f>IF(+I14&lt;F45,I14,D46)</f>
        <v>491.04444444444442</v>
      </c>
      <c r="F46" s="486">
        <f t="shared" si="12"/>
        <v>8840.0317168339025</v>
      </c>
      <c r="G46" s="487">
        <f t="shared" si="13"/>
        <v>1687.0444444444445</v>
      </c>
      <c r="H46" s="456">
        <f t="shared" si="14"/>
        <v>1687.0444444444445</v>
      </c>
      <c r="I46" s="476">
        <f t="shared" si="0"/>
        <v>0</v>
      </c>
      <c r="J46" s="476"/>
      <c r="K46" s="488"/>
      <c r="L46" s="479">
        <f t="shared" si="2"/>
        <v>0</v>
      </c>
      <c r="M46" s="488"/>
      <c r="N46" s="479">
        <f t="shared" si="4"/>
        <v>0</v>
      </c>
      <c r="O46" s="479">
        <f t="shared" si="5"/>
        <v>0</v>
      </c>
      <c r="P46" s="243"/>
    </row>
    <row r="47" spans="2:16" ht="12.5">
      <c r="B47" s="160" t="str">
        <f t="shared" si="6"/>
        <v/>
      </c>
      <c r="C47" s="473">
        <f>IF(D11="","-",+C46+1)</f>
        <v>2040</v>
      </c>
      <c r="D47" s="486">
        <f>IF(F46+SUM(E$17:E46)=D$10,F46,D$10-SUM(E$17:E46))</f>
        <v>8840.0317168339025</v>
      </c>
      <c r="E47" s="485">
        <f>IF(+I14&lt;F46,I14,D47)</f>
        <v>491.04444444444442</v>
      </c>
      <c r="F47" s="486">
        <f t="shared" si="12"/>
        <v>8348.9872723894587</v>
      </c>
      <c r="G47" s="487">
        <f t="shared" si="13"/>
        <v>1621.0444444444445</v>
      </c>
      <c r="H47" s="456">
        <f t="shared" si="14"/>
        <v>1621.0444444444445</v>
      </c>
      <c r="I47" s="476">
        <f t="shared" si="0"/>
        <v>0</v>
      </c>
      <c r="J47" s="476"/>
      <c r="K47" s="488"/>
      <c r="L47" s="479">
        <f t="shared" si="2"/>
        <v>0</v>
      </c>
      <c r="M47" s="488"/>
      <c r="N47" s="479">
        <f t="shared" si="4"/>
        <v>0</v>
      </c>
      <c r="O47" s="479">
        <f t="shared" si="5"/>
        <v>0</v>
      </c>
      <c r="P47" s="243"/>
    </row>
    <row r="48" spans="2:16" ht="12.5">
      <c r="B48" s="160" t="str">
        <f t="shared" si="6"/>
        <v/>
      </c>
      <c r="C48" s="473">
        <f>IF(D11="","-",+C47+1)</f>
        <v>2041</v>
      </c>
      <c r="D48" s="486">
        <f>IF(F47+SUM(E$17:E47)=D$10,F47,D$10-SUM(E$17:E47))</f>
        <v>8348.9872723894587</v>
      </c>
      <c r="E48" s="485">
        <f>IF(+I14&lt;F47,I14,D48)</f>
        <v>491.04444444444442</v>
      </c>
      <c r="F48" s="486">
        <f t="shared" si="12"/>
        <v>7857.942827945014</v>
      </c>
      <c r="G48" s="487">
        <f t="shared" si="13"/>
        <v>1554.0444444444445</v>
      </c>
      <c r="H48" s="456">
        <f t="shared" si="14"/>
        <v>1554.0444444444445</v>
      </c>
      <c r="I48" s="476">
        <f t="shared" si="0"/>
        <v>0</v>
      </c>
      <c r="J48" s="476"/>
      <c r="K48" s="488"/>
      <c r="L48" s="479">
        <f t="shared" si="2"/>
        <v>0</v>
      </c>
      <c r="M48" s="488"/>
      <c r="N48" s="479">
        <f t="shared" si="4"/>
        <v>0</v>
      </c>
      <c r="O48" s="479">
        <f t="shared" si="5"/>
        <v>0</v>
      </c>
      <c r="P48" s="243"/>
    </row>
    <row r="49" spans="2:16" ht="12.5">
      <c r="B49" s="160" t="str">
        <f t="shared" si="6"/>
        <v/>
      </c>
      <c r="C49" s="473">
        <f>IF(D11="","-",+C48+1)</f>
        <v>2042</v>
      </c>
      <c r="D49" s="486">
        <f>IF(F48+SUM(E$17:E48)=D$10,F48,D$10-SUM(E$17:E48))</f>
        <v>7857.942827945014</v>
      </c>
      <c r="E49" s="485">
        <f>IF(+I14&lt;F48,I14,D49)</f>
        <v>491.04444444444442</v>
      </c>
      <c r="F49" s="486">
        <f t="shared" ref="F49:F72" si="15">+D49-E49</f>
        <v>7366.8983835005693</v>
      </c>
      <c r="G49" s="487">
        <f t="shared" si="13"/>
        <v>1488.0444444444445</v>
      </c>
      <c r="H49" s="456">
        <f t="shared" si="14"/>
        <v>1488.0444444444445</v>
      </c>
      <c r="I49" s="476">
        <f t="shared" ref="I49:I72" si="16">H49-G49</f>
        <v>0</v>
      </c>
      <c r="J49" s="476"/>
      <c r="K49" s="488"/>
      <c r="L49" s="479">
        <f t="shared" ref="L49:L72" si="17">IF(K49&lt;&gt;0,+G49-K49,0)</f>
        <v>0</v>
      </c>
      <c r="M49" s="488"/>
      <c r="N49" s="479">
        <f t="shared" ref="N49:N72" si="18">IF(M49&lt;&gt;0,+H49-M49,0)</f>
        <v>0</v>
      </c>
      <c r="O49" s="479">
        <f t="shared" ref="O49:O72" si="19">+N49-L49</f>
        <v>0</v>
      </c>
      <c r="P49" s="243"/>
    </row>
    <row r="50" spans="2:16" ht="12.5">
      <c r="B50" s="160" t="str">
        <f t="shared" ref="B50:B72" si="20">IF(D50=F49,"","IU")</f>
        <v/>
      </c>
      <c r="C50" s="473">
        <f>IF(D11="","-",+C49+1)</f>
        <v>2043</v>
      </c>
      <c r="D50" s="486">
        <f>IF(F49+SUM(E$17:E49)=D$10,F49,D$10-SUM(E$17:E49))</f>
        <v>7366.8983835005693</v>
      </c>
      <c r="E50" s="485">
        <f>IF(+I14&lt;F49,I14,D50)</f>
        <v>491.04444444444442</v>
      </c>
      <c r="F50" s="486">
        <f t="shared" si="15"/>
        <v>6875.8539390561245</v>
      </c>
      <c r="G50" s="487">
        <f t="shared" ref="G50:G72" si="21">ROUND(I$12*F50,0)+E50</f>
        <v>1422.0444444444445</v>
      </c>
      <c r="H50" s="456">
        <f t="shared" ref="H50:H72" si="22">ROUND(I$13*F50,0)+E50</f>
        <v>1422.0444444444445</v>
      </c>
      <c r="I50" s="476">
        <f t="shared" si="16"/>
        <v>0</v>
      </c>
      <c r="J50" s="476"/>
      <c r="K50" s="488"/>
      <c r="L50" s="479">
        <f t="shared" si="17"/>
        <v>0</v>
      </c>
      <c r="M50" s="488"/>
      <c r="N50" s="479">
        <f t="shared" si="18"/>
        <v>0</v>
      </c>
      <c r="O50" s="479">
        <f t="shared" si="19"/>
        <v>0</v>
      </c>
      <c r="P50" s="243"/>
    </row>
    <row r="51" spans="2:16" ht="12.5">
      <c r="B51" s="160" t="str">
        <f t="shared" si="20"/>
        <v/>
      </c>
      <c r="C51" s="473">
        <f>IF(D11="","-",+C50+1)</f>
        <v>2044</v>
      </c>
      <c r="D51" s="486">
        <f>IF(F50+SUM(E$17:E50)=D$10,F50,D$10-SUM(E$17:E50))</f>
        <v>6875.8539390561245</v>
      </c>
      <c r="E51" s="485">
        <f>IF(+I14&lt;F50,I14,D51)</f>
        <v>491.04444444444442</v>
      </c>
      <c r="F51" s="486">
        <f t="shared" si="15"/>
        <v>6384.8094946116798</v>
      </c>
      <c r="G51" s="487">
        <f t="shared" si="21"/>
        <v>1355.0444444444445</v>
      </c>
      <c r="H51" s="456">
        <f t="shared" si="22"/>
        <v>1355.0444444444445</v>
      </c>
      <c r="I51" s="476">
        <f t="shared" si="16"/>
        <v>0</v>
      </c>
      <c r="J51" s="476"/>
      <c r="K51" s="488"/>
      <c r="L51" s="479">
        <f t="shared" si="17"/>
        <v>0</v>
      </c>
      <c r="M51" s="488"/>
      <c r="N51" s="479">
        <f t="shared" si="18"/>
        <v>0</v>
      </c>
      <c r="O51" s="479">
        <f t="shared" si="19"/>
        <v>0</v>
      </c>
      <c r="P51" s="243"/>
    </row>
    <row r="52" spans="2:16" ht="12.5">
      <c r="B52" s="160" t="str">
        <f t="shared" si="20"/>
        <v/>
      </c>
      <c r="C52" s="473">
        <f>IF(D11="","-",+C51+1)</f>
        <v>2045</v>
      </c>
      <c r="D52" s="486">
        <f>IF(F51+SUM(E$17:E51)=D$10,F51,D$10-SUM(E$17:E51))</f>
        <v>6384.8094946116798</v>
      </c>
      <c r="E52" s="485">
        <f>IF(+I14&lt;F51,I14,D52)</f>
        <v>491.04444444444442</v>
      </c>
      <c r="F52" s="486">
        <f t="shared" si="15"/>
        <v>5893.7650501672351</v>
      </c>
      <c r="G52" s="487">
        <f t="shared" si="21"/>
        <v>1289.0444444444445</v>
      </c>
      <c r="H52" s="456">
        <f t="shared" si="22"/>
        <v>1289.0444444444445</v>
      </c>
      <c r="I52" s="476">
        <f t="shared" si="16"/>
        <v>0</v>
      </c>
      <c r="J52" s="476"/>
      <c r="K52" s="488"/>
      <c r="L52" s="479">
        <f t="shared" si="17"/>
        <v>0</v>
      </c>
      <c r="M52" s="488"/>
      <c r="N52" s="479">
        <f t="shared" si="18"/>
        <v>0</v>
      </c>
      <c r="O52" s="479">
        <f t="shared" si="19"/>
        <v>0</v>
      </c>
      <c r="P52" s="243"/>
    </row>
    <row r="53" spans="2:16" ht="12.5">
      <c r="B53" s="160" t="str">
        <f t="shared" si="20"/>
        <v/>
      </c>
      <c r="C53" s="473">
        <f>IF(D11="","-",+C52+1)</f>
        <v>2046</v>
      </c>
      <c r="D53" s="486">
        <f>IF(F52+SUM(E$17:E52)=D$10,F52,D$10-SUM(E$17:E52))</f>
        <v>5893.7650501672351</v>
      </c>
      <c r="E53" s="485">
        <f>IF(+I14&lt;F52,I14,D53)</f>
        <v>491.04444444444442</v>
      </c>
      <c r="F53" s="486">
        <f t="shared" si="15"/>
        <v>5402.7206057227904</v>
      </c>
      <c r="G53" s="487">
        <f t="shared" si="21"/>
        <v>1222.0444444444445</v>
      </c>
      <c r="H53" s="456">
        <f t="shared" si="22"/>
        <v>1222.0444444444445</v>
      </c>
      <c r="I53" s="476">
        <f t="shared" si="16"/>
        <v>0</v>
      </c>
      <c r="J53" s="476"/>
      <c r="K53" s="488"/>
      <c r="L53" s="479">
        <f t="shared" si="17"/>
        <v>0</v>
      </c>
      <c r="M53" s="488"/>
      <c r="N53" s="479">
        <f t="shared" si="18"/>
        <v>0</v>
      </c>
      <c r="O53" s="479">
        <f t="shared" si="19"/>
        <v>0</v>
      </c>
      <c r="P53" s="243"/>
    </row>
    <row r="54" spans="2:16" ht="12.5">
      <c r="B54" s="160" t="str">
        <f t="shared" si="20"/>
        <v/>
      </c>
      <c r="C54" s="473">
        <f>IF(D11="","-",+C53+1)</f>
        <v>2047</v>
      </c>
      <c r="D54" s="486">
        <f>IF(F53+SUM(E$17:E53)=D$10,F53,D$10-SUM(E$17:E53))</f>
        <v>5402.7206057227904</v>
      </c>
      <c r="E54" s="485">
        <f>IF(+I14&lt;F53,I14,D54)</f>
        <v>491.04444444444442</v>
      </c>
      <c r="F54" s="486">
        <f t="shared" si="15"/>
        <v>4911.6761612783457</v>
      </c>
      <c r="G54" s="487">
        <f t="shared" si="21"/>
        <v>1156.0444444444445</v>
      </c>
      <c r="H54" s="456">
        <f t="shared" si="22"/>
        <v>1156.0444444444445</v>
      </c>
      <c r="I54" s="476">
        <f t="shared" si="16"/>
        <v>0</v>
      </c>
      <c r="J54" s="476"/>
      <c r="K54" s="488"/>
      <c r="L54" s="479">
        <f t="shared" si="17"/>
        <v>0</v>
      </c>
      <c r="M54" s="488"/>
      <c r="N54" s="479">
        <f t="shared" si="18"/>
        <v>0</v>
      </c>
      <c r="O54" s="479">
        <f t="shared" si="19"/>
        <v>0</v>
      </c>
      <c r="P54" s="243"/>
    </row>
    <row r="55" spans="2:16" ht="12.5">
      <c r="B55" s="160" t="str">
        <f t="shared" si="20"/>
        <v/>
      </c>
      <c r="C55" s="473">
        <f>IF(D11="","-",+C54+1)</f>
        <v>2048</v>
      </c>
      <c r="D55" s="486">
        <f>IF(F54+SUM(E$17:E54)=D$10,F54,D$10-SUM(E$17:E54))</f>
        <v>4911.6761612783457</v>
      </c>
      <c r="E55" s="485">
        <f>IF(+I14&lt;F54,I14,D55)</f>
        <v>491.04444444444442</v>
      </c>
      <c r="F55" s="486">
        <f t="shared" si="15"/>
        <v>4420.631716833901</v>
      </c>
      <c r="G55" s="487">
        <f t="shared" si="21"/>
        <v>1089.0444444444445</v>
      </c>
      <c r="H55" s="456">
        <f t="shared" si="22"/>
        <v>1089.0444444444445</v>
      </c>
      <c r="I55" s="476">
        <f t="shared" si="16"/>
        <v>0</v>
      </c>
      <c r="J55" s="476"/>
      <c r="K55" s="488"/>
      <c r="L55" s="479">
        <f t="shared" si="17"/>
        <v>0</v>
      </c>
      <c r="M55" s="488"/>
      <c r="N55" s="479">
        <f t="shared" si="18"/>
        <v>0</v>
      </c>
      <c r="O55" s="479">
        <f t="shared" si="19"/>
        <v>0</v>
      </c>
      <c r="P55" s="243"/>
    </row>
    <row r="56" spans="2:16" ht="12.5">
      <c r="B56" s="160" t="str">
        <f t="shared" si="20"/>
        <v/>
      </c>
      <c r="C56" s="473">
        <f>IF(D11="","-",+C55+1)</f>
        <v>2049</v>
      </c>
      <c r="D56" s="486">
        <f>IF(F55+SUM(E$17:E55)=D$10,F55,D$10-SUM(E$17:E55))</f>
        <v>4420.631716833901</v>
      </c>
      <c r="E56" s="485">
        <f>IF(+I14&lt;F55,I14,D56)</f>
        <v>491.04444444444442</v>
      </c>
      <c r="F56" s="486">
        <f t="shared" si="15"/>
        <v>3929.5872723894568</v>
      </c>
      <c r="G56" s="487">
        <f t="shared" si="21"/>
        <v>1023.0444444444445</v>
      </c>
      <c r="H56" s="456">
        <f t="shared" si="22"/>
        <v>1023.0444444444445</v>
      </c>
      <c r="I56" s="476">
        <f t="shared" si="16"/>
        <v>0</v>
      </c>
      <c r="J56" s="476"/>
      <c r="K56" s="488"/>
      <c r="L56" s="479">
        <f t="shared" si="17"/>
        <v>0</v>
      </c>
      <c r="M56" s="488"/>
      <c r="N56" s="479">
        <f t="shared" si="18"/>
        <v>0</v>
      </c>
      <c r="O56" s="479">
        <f t="shared" si="19"/>
        <v>0</v>
      </c>
      <c r="P56" s="243"/>
    </row>
    <row r="57" spans="2:16" ht="12.5">
      <c r="B57" s="160" t="str">
        <f t="shared" si="20"/>
        <v/>
      </c>
      <c r="C57" s="473">
        <f>IF(D11="","-",+C56+1)</f>
        <v>2050</v>
      </c>
      <c r="D57" s="486">
        <f>IF(F56+SUM(E$17:E56)=D$10,F56,D$10-SUM(E$17:E56))</f>
        <v>3929.5872723894568</v>
      </c>
      <c r="E57" s="485">
        <f>IF(+I14&lt;F56,I14,D57)</f>
        <v>491.04444444444442</v>
      </c>
      <c r="F57" s="486">
        <f t="shared" si="15"/>
        <v>3438.5428279450125</v>
      </c>
      <c r="G57" s="487">
        <f t="shared" si="21"/>
        <v>956.04444444444448</v>
      </c>
      <c r="H57" s="456">
        <f t="shared" si="22"/>
        <v>956.04444444444448</v>
      </c>
      <c r="I57" s="476">
        <f t="shared" si="16"/>
        <v>0</v>
      </c>
      <c r="J57" s="476"/>
      <c r="K57" s="488"/>
      <c r="L57" s="479">
        <f t="shared" si="17"/>
        <v>0</v>
      </c>
      <c r="M57" s="488"/>
      <c r="N57" s="479">
        <f t="shared" si="18"/>
        <v>0</v>
      </c>
      <c r="O57" s="479">
        <f t="shared" si="19"/>
        <v>0</v>
      </c>
      <c r="P57" s="243"/>
    </row>
    <row r="58" spans="2:16" ht="12.5">
      <c r="B58" s="160" t="str">
        <f t="shared" si="20"/>
        <v/>
      </c>
      <c r="C58" s="473">
        <f>IF(D11="","-",+C57+1)</f>
        <v>2051</v>
      </c>
      <c r="D58" s="486">
        <f>IF(F57+SUM(E$17:E57)=D$10,F57,D$10-SUM(E$17:E57))</f>
        <v>3438.5428279450125</v>
      </c>
      <c r="E58" s="485">
        <f>IF(+I14&lt;F57,I14,D58)</f>
        <v>491.04444444444442</v>
      </c>
      <c r="F58" s="486">
        <f t="shared" si="15"/>
        <v>2947.4983835005683</v>
      </c>
      <c r="G58" s="487">
        <f t="shared" si="21"/>
        <v>890.04444444444448</v>
      </c>
      <c r="H58" s="456">
        <f t="shared" si="22"/>
        <v>890.04444444444448</v>
      </c>
      <c r="I58" s="476">
        <f t="shared" si="16"/>
        <v>0</v>
      </c>
      <c r="J58" s="476"/>
      <c r="K58" s="488"/>
      <c r="L58" s="479">
        <f t="shared" si="17"/>
        <v>0</v>
      </c>
      <c r="M58" s="488"/>
      <c r="N58" s="479">
        <f t="shared" si="18"/>
        <v>0</v>
      </c>
      <c r="O58" s="479">
        <f t="shared" si="19"/>
        <v>0</v>
      </c>
      <c r="P58" s="243"/>
    </row>
    <row r="59" spans="2:16" ht="12.5">
      <c r="B59" s="160" t="str">
        <f t="shared" si="20"/>
        <v/>
      </c>
      <c r="C59" s="473">
        <f>IF(D11="","-",+C58+1)</f>
        <v>2052</v>
      </c>
      <c r="D59" s="486">
        <f>IF(F58+SUM(E$17:E58)=D$10,F58,D$10-SUM(E$17:E58))</f>
        <v>2947.4983835005683</v>
      </c>
      <c r="E59" s="485">
        <f>IF(+I14&lt;F58,I14,D59)</f>
        <v>491.04444444444442</v>
      </c>
      <c r="F59" s="486">
        <f t="shared" si="15"/>
        <v>2456.453939056124</v>
      </c>
      <c r="G59" s="487">
        <f t="shared" si="21"/>
        <v>823.04444444444448</v>
      </c>
      <c r="H59" s="456">
        <f t="shared" si="22"/>
        <v>823.04444444444448</v>
      </c>
      <c r="I59" s="476">
        <f t="shared" si="16"/>
        <v>0</v>
      </c>
      <c r="J59" s="476"/>
      <c r="K59" s="488"/>
      <c r="L59" s="479">
        <f t="shared" si="17"/>
        <v>0</v>
      </c>
      <c r="M59" s="488"/>
      <c r="N59" s="479">
        <f t="shared" si="18"/>
        <v>0</v>
      </c>
      <c r="O59" s="479">
        <f t="shared" si="19"/>
        <v>0</v>
      </c>
      <c r="P59" s="243"/>
    </row>
    <row r="60" spans="2:16" ht="12.5">
      <c r="B60" s="160" t="str">
        <f t="shared" si="20"/>
        <v/>
      </c>
      <c r="C60" s="473">
        <f>IF(D11="","-",+C59+1)</f>
        <v>2053</v>
      </c>
      <c r="D60" s="486">
        <f>IF(F59+SUM(E$17:E59)=D$10,F59,D$10-SUM(E$17:E59))</f>
        <v>2456.453939056124</v>
      </c>
      <c r="E60" s="485">
        <f>IF(+I14&lt;F59,I14,D60)</f>
        <v>491.04444444444442</v>
      </c>
      <c r="F60" s="486">
        <f t="shared" si="15"/>
        <v>1965.4094946116795</v>
      </c>
      <c r="G60" s="487">
        <f t="shared" si="21"/>
        <v>757.04444444444448</v>
      </c>
      <c r="H60" s="456">
        <f t="shared" si="22"/>
        <v>757.04444444444448</v>
      </c>
      <c r="I60" s="476">
        <f t="shared" si="16"/>
        <v>0</v>
      </c>
      <c r="J60" s="476"/>
      <c r="K60" s="488"/>
      <c r="L60" s="479">
        <f t="shared" si="17"/>
        <v>0</v>
      </c>
      <c r="M60" s="488"/>
      <c r="N60" s="479">
        <f t="shared" si="18"/>
        <v>0</v>
      </c>
      <c r="O60" s="479">
        <f t="shared" si="19"/>
        <v>0</v>
      </c>
      <c r="P60" s="243"/>
    </row>
    <row r="61" spans="2:16" ht="12.5">
      <c r="B61" s="160" t="str">
        <f t="shared" si="20"/>
        <v/>
      </c>
      <c r="C61" s="473">
        <f>IF(D11="","-",+C60+1)</f>
        <v>2054</v>
      </c>
      <c r="D61" s="486">
        <f>IF(F60+SUM(E$17:E60)=D$10,F60,D$10-SUM(E$17:E60))</f>
        <v>1965.4094946116795</v>
      </c>
      <c r="E61" s="485">
        <f>IF(+I14&lt;F60,I14,D61)</f>
        <v>491.04444444444442</v>
      </c>
      <c r="F61" s="486">
        <f t="shared" si="15"/>
        <v>1474.365050167235</v>
      </c>
      <c r="G61" s="489">
        <f t="shared" si="21"/>
        <v>691.04444444444448</v>
      </c>
      <c r="H61" s="456">
        <f t="shared" si="22"/>
        <v>691.04444444444448</v>
      </c>
      <c r="I61" s="476">
        <f t="shared" si="16"/>
        <v>0</v>
      </c>
      <c r="J61" s="476"/>
      <c r="K61" s="488"/>
      <c r="L61" s="479">
        <f t="shared" si="17"/>
        <v>0</v>
      </c>
      <c r="M61" s="488"/>
      <c r="N61" s="479">
        <f t="shared" si="18"/>
        <v>0</v>
      </c>
      <c r="O61" s="479">
        <f t="shared" si="19"/>
        <v>0</v>
      </c>
      <c r="P61" s="243"/>
    </row>
    <row r="62" spans="2:16" ht="12.5">
      <c r="B62" s="160" t="str">
        <f t="shared" si="20"/>
        <v/>
      </c>
      <c r="C62" s="473">
        <f>IF(D11="","-",+C61+1)</f>
        <v>2055</v>
      </c>
      <c r="D62" s="486">
        <f>IF(F61+SUM(E$17:E61)=D$10,F61,D$10-SUM(E$17:E61))</f>
        <v>1474.365050167235</v>
      </c>
      <c r="E62" s="485">
        <f>IF(+I14&lt;F61,I14,D62)</f>
        <v>491.04444444444442</v>
      </c>
      <c r="F62" s="486">
        <f t="shared" si="15"/>
        <v>983.32060572279056</v>
      </c>
      <c r="G62" s="489">
        <f t="shared" si="21"/>
        <v>624.04444444444448</v>
      </c>
      <c r="H62" s="456">
        <f t="shared" si="22"/>
        <v>624.04444444444448</v>
      </c>
      <c r="I62" s="476">
        <f t="shared" si="16"/>
        <v>0</v>
      </c>
      <c r="J62" s="476"/>
      <c r="K62" s="488"/>
      <c r="L62" s="479">
        <f t="shared" si="17"/>
        <v>0</v>
      </c>
      <c r="M62" s="488"/>
      <c r="N62" s="479">
        <f t="shared" si="18"/>
        <v>0</v>
      </c>
      <c r="O62" s="479">
        <f t="shared" si="19"/>
        <v>0</v>
      </c>
      <c r="P62" s="243"/>
    </row>
    <row r="63" spans="2:16" ht="12.5">
      <c r="B63" s="160" t="str">
        <f t="shared" si="20"/>
        <v/>
      </c>
      <c r="C63" s="473">
        <f>IF(D11="","-",+C62+1)</f>
        <v>2056</v>
      </c>
      <c r="D63" s="486">
        <f>IF(F62+SUM(E$17:E62)=D$10,F62,D$10-SUM(E$17:E62))</f>
        <v>983.32060572279056</v>
      </c>
      <c r="E63" s="485">
        <f>IF(+I14&lt;F62,I14,D63)</f>
        <v>491.04444444444442</v>
      </c>
      <c r="F63" s="486">
        <f t="shared" si="15"/>
        <v>492.27616127834614</v>
      </c>
      <c r="G63" s="489">
        <f t="shared" si="21"/>
        <v>558.04444444444448</v>
      </c>
      <c r="H63" s="456">
        <f t="shared" si="22"/>
        <v>558.04444444444448</v>
      </c>
      <c r="I63" s="476">
        <f t="shared" si="16"/>
        <v>0</v>
      </c>
      <c r="J63" s="476"/>
      <c r="K63" s="488"/>
      <c r="L63" s="479">
        <f t="shared" si="17"/>
        <v>0</v>
      </c>
      <c r="M63" s="488"/>
      <c r="N63" s="479">
        <f t="shared" si="18"/>
        <v>0</v>
      </c>
      <c r="O63" s="479">
        <f t="shared" si="19"/>
        <v>0</v>
      </c>
      <c r="P63" s="243"/>
    </row>
    <row r="64" spans="2:16" ht="12.5">
      <c r="B64" s="160" t="str">
        <f t="shared" si="20"/>
        <v/>
      </c>
      <c r="C64" s="473">
        <f>IF(D11="","-",+C63+1)</f>
        <v>2057</v>
      </c>
      <c r="D64" s="486">
        <f>IF(F63+SUM(E$17:E63)=D$10,F63,D$10-SUM(E$17:E63))</f>
        <v>492.27616127834614</v>
      </c>
      <c r="E64" s="485">
        <f>IF(+I14&lt;F63,I14,D64)</f>
        <v>491.04444444444442</v>
      </c>
      <c r="F64" s="486">
        <f t="shared" si="15"/>
        <v>1.2317168339017144</v>
      </c>
      <c r="G64" s="489">
        <f t="shared" si="21"/>
        <v>491.04444444444442</v>
      </c>
      <c r="H64" s="456">
        <f t="shared" si="22"/>
        <v>491.04444444444442</v>
      </c>
      <c r="I64" s="476">
        <f t="shared" si="16"/>
        <v>0</v>
      </c>
      <c r="J64" s="476"/>
      <c r="K64" s="488"/>
      <c r="L64" s="479">
        <f t="shared" si="17"/>
        <v>0</v>
      </c>
      <c r="M64" s="488"/>
      <c r="N64" s="479">
        <f t="shared" si="18"/>
        <v>0</v>
      </c>
      <c r="O64" s="479">
        <f t="shared" si="19"/>
        <v>0</v>
      </c>
      <c r="P64" s="243"/>
    </row>
    <row r="65" spans="2:16" ht="12.5">
      <c r="B65" s="160" t="str">
        <f t="shared" si="20"/>
        <v/>
      </c>
      <c r="C65" s="473">
        <f>IF(D11="","-",+C64+1)</f>
        <v>2058</v>
      </c>
      <c r="D65" s="486">
        <f>IF(F64+SUM(E$17:E64)=D$10,F64,D$10-SUM(E$17:E64))</f>
        <v>1.2317168339017144</v>
      </c>
      <c r="E65" s="485">
        <f>IF(+I14&lt;F64,I14,D65)</f>
        <v>1.2317168339017144</v>
      </c>
      <c r="F65" s="486">
        <f t="shared" si="15"/>
        <v>0</v>
      </c>
      <c r="G65" s="489">
        <f t="shared" si="21"/>
        <v>1.2317168339017144</v>
      </c>
      <c r="H65" s="456">
        <f t="shared" si="22"/>
        <v>1.2317168339017144</v>
      </c>
      <c r="I65" s="476">
        <f t="shared" si="16"/>
        <v>0</v>
      </c>
      <c r="J65" s="476"/>
      <c r="K65" s="488"/>
      <c r="L65" s="479">
        <f t="shared" si="17"/>
        <v>0</v>
      </c>
      <c r="M65" s="488"/>
      <c r="N65" s="479">
        <f t="shared" si="18"/>
        <v>0</v>
      </c>
      <c r="O65" s="479">
        <f t="shared" si="19"/>
        <v>0</v>
      </c>
      <c r="P65" s="243"/>
    </row>
    <row r="66" spans="2:16" ht="12.5">
      <c r="B66" s="160" t="str">
        <f t="shared" si="20"/>
        <v/>
      </c>
      <c r="C66" s="473">
        <f>IF(D11="","-",+C65+1)</f>
        <v>2059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5"/>
        <v>0</v>
      </c>
      <c r="G66" s="489">
        <f t="shared" si="21"/>
        <v>0</v>
      </c>
      <c r="H66" s="456">
        <f t="shared" si="22"/>
        <v>0</v>
      </c>
      <c r="I66" s="476">
        <f t="shared" si="16"/>
        <v>0</v>
      </c>
      <c r="J66" s="476"/>
      <c r="K66" s="488"/>
      <c r="L66" s="479">
        <f t="shared" si="17"/>
        <v>0</v>
      </c>
      <c r="M66" s="488"/>
      <c r="N66" s="479">
        <f t="shared" si="18"/>
        <v>0</v>
      </c>
      <c r="O66" s="479">
        <f t="shared" si="19"/>
        <v>0</v>
      </c>
      <c r="P66" s="243"/>
    </row>
    <row r="67" spans="2:16" ht="12.5">
      <c r="B67" s="160" t="str">
        <f t="shared" si="20"/>
        <v/>
      </c>
      <c r="C67" s="473">
        <f>IF(D11="","-",+C66+1)</f>
        <v>2060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5"/>
        <v>0</v>
      </c>
      <c r="G67" s="489">
        <f t="shared" si="21"/>
        <v>0</v>
      </c>
      <c r="H67" s="456">
        <f t="shared" si="22"/>
        <v>0</v>
      </c>
      <c r="I67" s="476">
        <f t="shared" si="16"/>
        <v>0</v>
      </c>
      <c r="J67" s="476"/>
      <c r="K67" s="488"/>
      <c r="L67" s="479">
        <f t="shared" si="17"/>
        <v>0</v>
      </c>
      <c r="M67" s="488"/>
      <c r="N67" s="479">
        <f t="shared" si="18"/>
        <v>0</v>
      </c>
      <c r="O67" s="479">
        <f t="shared" si="19"/>
        <v>0</v>
      </c>
      <c r="P67" s="243"/>
    </row>
    <row r="68" spans="2:16" ht="12.5">
      <c r="B68" s="160" t="str">
        <f t="shared" si="20"/>
        <v/>
      </c>
      <c r="C68" s="473">
        <f>IF(D11="","-",+C67+1)</f>
        <v>2061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5"/>
        <v>0</v>
      </c>
      <c r="G68" s="489">
        <f t="shared" si="21"/>
        <v>0</v>
      </c>
      <c r="H68" s="456">
        <f t="shared" si="22"/>
        <v>0</v>
      </c>
      <c r="I68" s="476">
        <f t="shared" si="16"/>
        <v>0</v>
      </c>
      <c r="J68" s="476"/>
      <c r="K68" s="488"/>
      <c r="L68" s="479">
        <f t="shared" si="17"/>
        <v>0</v>
      </c>
      <c r="M68" s="488"/>
      <c r="N68" s="479">
        <f t="shared" si="18"/>
        <v>0</v>
      </c>
      <c r="O68" s="479">
        <f t="shared" si="19"/>
        <v>0</v>
      </c>
      <c r="P68" s="243"/>
    </row>
    <row r="69" spans="2:16" ht="12.5">
      <c r="B69" s="160" t="str">
        <f t="shared" si="20"/>
        <v/>
      </c>
      <c r="C69" s="473">
        <f>IF(D11="","-",+C68+1)</f>
        <v>2062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5"/>
        <v>0</v>
      </c>
      <c r="G69" s="489">
        <f t="shared" si="21"/>
        <v>0</v>
      </c>
      <c r="H69" s="456">
        <f t="shared" si="22"/>
        <v>0</v>
      </c>
      <c r="I69" s="476">
        <f t="shared" si="16"/>
        <v>0</v>
      </c>
      <c r="J69" s="476"/>
      <c r="K69" s="488"/>
      <c r="L69" s="479">
        <f t="shared" si="17"/>
        <v>0</v>
      </c>
      <c r="M69" s="488"/>
      <c r="N69" s="479">
        <f t="shared" si="18"/>
        <v>0</v>
      </c>
      <c r="O69" s="479">
        <f t="shared" si="19"/>
        <v>0</v>
      </c>
      <c r="P69" s="243"/>
    </row>
    <row r="70" spans="2:16" ht="12.5">
      <c r="B70" s="160" t="str">
        <f t="shared" si="20"/>
        <v/>
      </c>
      <c r="C70" s="473">
        <f>IF(D11="","-",+C69+1)</f>
        <v>2063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5"/>
        <v>0</v>
      </c>
      <c r="G70" s="489">
        <f t="shared" si="21"/>
        <v>0</v>
      </c>
      <c r="H70" s="456">
        <f t="shared" si="22"/>
        <v>0</v>
      </c>
      <c r="I70" s="476">
        <f t="shared" si="16"/>
        <v>0</v>
      </c>
      <c r="J70" s="476"/>
      <c r="K70" s="488"/>
      <c r="L70" s="479">
        <f t="shared" si="17"/>
        <v>0</v>
      </c>
      <c r="M70" s="488"/>
      <c r="N70" s="479">
        <f t="shared" si="18"/>
        <v>0</v>
      </c>
      <c r="O70" s="479">
        <f t="shared" si="19"/>
        <v>0</v>
      </c>
      <c r="P70" s="243"/>
    </row>
    <row r="71" spans="2:16" ht="12.5">
      <c r="B71" s="160" t="str">
        <f t="shared" si="20"/>
        <v/>
      </c>
      <c r="C71" s="473">
        <f>IF(D11="","-",+C70+1)</f>
        <v>2064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5"/>
        <v>0</v>
      </c>
      <c r="G71" s="489">
        <f t="shared" si="21"/>
        <v>0</v>
      </c>
      <c r="H71" s="456">
        <f t="shared" si="22"/>
        <v>0</v>
      </c>
      <c r="I71" s="476">
        <f t="shared" si="16"/>
        <v>0</v>
      </c>
      <c r="J71" s="476"/>
      <c r="K71" s="488"/>
      <c r="L71" s="479">
        <f t="shared" si="17"/>
        <v>0</v>
      </c>
      <c r="M71" s="488"/>
      <c r="N71" s="479">
        <f t="shared" si="18"/>
        <v>0</v>
      </c>
      <c r="O71" s="479">
        <f t="shared" si="19"/>
        <v>0</v>
      </c>
      <c r="P71" s="243"/>
    </row>
    <row r="72" spans="2:16" ht="13" thickBot="1">
      <c r="B72" s="160" t="str">
        <f t="shared" si="20"/>
        <v/>
      </c>
      <c r="C72" s="490">
        <f>IF(D11="","-",+C71+1)</f>
        <v>2065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5"/>
        <v>0</v>
      </c>
      <c r="G72" s="493">
        <f t="shared" si="21"/>
        <v>0</v>
      </c>
      <c r="H72" s="436">
        <f t="shared" si="22"/>
        <v>0</v>
      </c>
      <c r="I72" s="494">
        <f t="shared" si="16"/>
        <v>0</v>
      </c>
      <c r="J72" s="476"/>
      <c r="K72" s="495"/>
      <c r="L72" s="496">
        <f t="shared" si="17"/>
        <v>0</v>
      </c>
      <c r="M72" s="495"/>
      <c r="N72" s="496">
        <f t="shared" si="18"/>
        <v>0</v>
      </c>
      <c r="O72" s="496">
        <f t="shared" si="19"/>
        <v>0</v>
      </c>
      <c r="P72" s="243"/>
    </row>
    <row r="73" spans="2:16" ht="12.5">
      <c r="C73" s="347" t="s">
        <v>77</v>
      </c>
      <c r="D73" s="348"/>
      <c r="E73" s="348">
        <f>SUM(E17:E72)</f>
        <v>22096.999999999996</v>
      </c>
      <c r="F73" s="348"/>
      <c r="G73" s="348">
        <f>SUM(G17:G72)</f>
        <v>90270.303671380374</v>
      </c>
      <c r="H73" s="348">
        <f>SUM(H17:H72)</f>
        <v>90270.303671380374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13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2666.8814890183439</v>
      </c>
      <c r="N87" s="509">
        <f>IF(J92&lt;D11,0,VLOOKUP(J92,C17:O72,11))</f>
        <v>2666.8814890183439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2484.3492160371716</v>
      </c>
      <c r="N88" s="513">
        <f>IF(J92&lt;D11,0,VLOOKUP(J92,C99:P154,7))</f>
        <v>2484.3492160371716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CoffeyvilleT to Dearing 138 kv Rebuild - 1.1 mi*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-182.53227298117235</v>
      </c>
      <c r="N89" s="518">
        <f>+N88-N87</f>
        <v>-182.53227298117235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TP2008013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22097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2010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539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591">
        <f>D93</f>
        <v>2010</v>
      </c>
      <c r="D99" s="592">
        <v>0</v>
      </c>
      <c r="E99" s="593">
        <v>0</v>
      </c>
      <c r="F99" s="593">
        <v>0</v>
      </c>
      <c r="G99" s="593">
        <v>0</v>
      </c>
      <c r="H99" s="594">
        <v>0</v>
      </c>
      <c r="I99" s="593">
        <v>0</v>
      </c>
      <c r="J99" s="595">
        <v>0</v>
      </c>
      <c r="K99" s="479"/>
      <c r="L99" s="568">
        <f t="shared" ref="L99:L104" si="23">H99</f>
        <v>0</v>
      </c>
      <c r="M99" s="569">
        <f t="shared" ref="M99:M104" si="24">IF(L99&lt;&gt;0,+H99-L99,0)</f>
        <v>0</v>
      </c>
      <c r="N99" s="568">
        <f t="shared" ref="N99:N104" si="25">I99</f>
        <v>0</v>
      </c>
      <c r="O99" s="478">
        <f t="shared" ref="O99:O104" si="26">IF(N99&lt;&gt;0,+I99-N99,0)</f>
        <v>0</v>
      </c>
      <c r="P99" s="478">
        <f t="shared" ref="P99:P104" si="27">+O99-M99</f>
        <v>0</v>
      </c>
    </row>
    <row r="100" spans="1:16" ht="12.5">
      <c r="C100" s="473">
        <f>IF(D91="","-",+C99+1)</f>
        <v>2011</v>
      </c>
      <c r="D100" s="596">
        <v>0</v>
      </c>
      <c r="E100" s="597">
        <v>0</v>
      </c>
      <c r="F100" s="597">
        <v>0</v>
      </c>
      <c r="G100" s="597">
        <v>0</v>
      </c>
      <c r="H100" s="598">
        <v>0</v>
      </c>
      <c r="I100" s="597">
        <v>0</v>
      </c>
      <c r="J100" s="599">
        <v>0</v>
      </c>
      <c r="K100" s="479"/>
      <c r="L100" s="541">
        <f t="shared" si="23"/>
        <v>0</v>
      </c>
      <c r="M100" s="542">
        <f t="shared" si="24"/>
        <v>0</v>
      </c>
      <c r="N100" s="541">
        <f t="shared" si="25"/>
        <v>0</v>
      </c>
      <c r="O100" s="479">
        <f t="shared" si="26"/>
        <v>0</v>
      </c>
      <c r="P100" s="479">
        <f t="shared" si="27"/>
        <v>0</v>
      </c>
    </row>
    <row r="101" spans="1:16" ht="12.5">
      <c r="C101" s="473">
        <f>IF(D92="","-",+C100+1)</f>
        <v>2012</v>
      </c>
      <c r="D101" s="579">
        <v>22097</v>
      </c>
      <c r="E101" s="580">
        <v>212.5</v>
      </c>
      <c r="F101" s="581">
        <v>21884.5</v>
      </c>
      <c r="G101" s="581">
        <v>21990.75</v>
      </c>
      <c r="H101" s="583">
        <v>3375.9899363381005</v>
      </c>
      <c r="I101" s="584">
        <v>3375.9899363381005</v>
      </c>
      <c r="J101" s="479">
        <v>0</v>
      </c>
      <c r="K101" s="479"/>
      <c r="L101" s="541">
        <f t="shared" si="23"/>
        <v>3375.9899363381005</v>
      </c>
      <c r="M101" s="542">
        <f t="shared" si="24"/>
        <v>0</v>
      </c>
      <c r="N101" s="541">
        <f t="shared" si="25"/>
        <v>3375.9899363381005</v>
      </c>
      <c r="O101" s="479">
        <f t="shared" si="26"/>
        <v>0</v>
      </c>
      <c r="P101" s="479">
        <f t="shared" si="27"/>
        <v>0</v>
      </c>
    </row>
    <row r="102" spans="1:16" ht="12.5">
      <c r="B102" s="160" t="str">
        <f t="shared" ref="B102:B133" si="28">IF(D102=F101,"","IU")</f>
        <v/>
      </c>
      <c r="C102" s="473">
        <f>IF(D93="","-",+C101+1)</f>
        <v>2013</v>
      </c>
      <c r="D102" s="579">
        <v>21884.5</v>
      </c>
      <c r="E102" s="580">
        <v>425</v>
      </c>
      <c r="F102" s="581">
        <v>21459.5</v>
      </c>
      <c r="G102" s="581">
        <v>21672</v>
      </c>
      <c r="H102" s="583">
        <v>3544.458879858515</v>
      </c>
      <c r="I102" s="584">
        <v>3544.458879858515</v>
      </c>
      <c r="J102" s="479">
        <v>0</v>
      </c>
      <c r="K102" s="479"/>
      <c r="L102" s="541">
        <f t="shared" si="23"/>
        <v>3544.458879858515</v>
      </c>
      <c r="M102" s="542">
        <f t="shared" si="24"/>
        <v>0</v>
      </c>
      <c r="N102" s="541">
        <f t="shared" si="25"/>
        <v>3544.458879858515</v>
      </c>
      <c r="O102" s="479">
        <f t="shared" si="26"/>
        <v>0</v>
      </c>
      <c r="P102" s="479">
        <f t="shared" si="27"/>
        <v>0</v>
      </c>
    </row>
    <row r="103" spans="1:16" ht="12.5">
      <c r="B103" s="160" t="str">
        <f t="shared" si="28"/>
        <v/>
      </c>
      <c r="C103" s="473">
        <f>IF(D93="","-",+C102+1)</f>
        <v>2014</v>
      </c>
      <c r="D103" s="579">
        <v>21459.5</v>
      </c>
      <c r="E103" s="580">
        <v>425</v>
      </c>
      <c r="F103" s="581">
        <v>21034.5</v>
      </c>
      <c r="G103" s="581">
        <v>21247</v>
      </c>
      <c r="H103" s="583">
        <v>3412.2413474199548</v>
      </c>
      <c r="I103" s="584">
        <v>3412.2413474199548</v>
      </c>
      <c r="J103" s="479">
        <v>0</v>
      </c>
      <c r="K103" s="479"/>
      <c r="L103" s="541">
        <f t="shared" si="23"/>
        <v>3412.2413474199548</v>
      </c>
      <c r="M103" s="542">
        <f t="shared" si="24"/>
        <v>0</v>
      </c>
      <c r="N103" s="541">
        <f t="shared" si="25"/>
        <v>3412.2413474199548</v>
      </c>
      <c r="O103" s="479">
        <f t="shared" si="26"/>
        <v>0</v>
      </c>
      <c r="P103" s="479">
        <f t="shared" si="27"/>
        <v>0</v>
      </c>
    </row>
    <row r="104" spans="1:16" ht="12.5">
      <c r="B104" s="160" t="str">
        <f t="shared" si="28"/>
        <v/>
      </c>
      <c r="C104" s="473">
        <f>IF(D93="","-",+C103+1)</f>
        <v>2015</v>
      </c>
      <c r="D104" s="579">
        <v>21034.5</v>
      </c>
      <c r="E104" s="580">
        <v>425</v>
      </c>
      <c r="F104" s="581">
        <v>20609.5</v>
      </c>
      <c r="G104" s="581">
        <v>20822</v>
      </c>
      <c r="H104" s="583">
        <v>3265.9944828697971</v>
      </c>
      <c r="I104" s="584">
        <v>3265.9944828697971</v>
      </c>
      <c r="J104" s="479">
        <f t="shared" ref="J104:J132" si="29">+I104-H104</f>
        <v>0</v>
      </c>
      <c r="K104" s="479"/>
      <c r="L104" s="541">
        <f t="shared" si="23"/>
        <v>3265.9944828697971</v>
      </c>
      <c r="M104" s="542">
        <f t="shared" si="24"/>
        <v>0</v>
      </c>
      <c r="N104" s="541">
        <f t="shared" si="25"/>
        <v>3265.9944828697971</v>
      </c>
      <c r="O104" s="479">
        <f t="shared" si="26"/>
        <v>0</v>
      </c>
      <c r="P104" s="479">
        <f t="shared" si="27"/>
        <v>0</v>
      </c>
    </row>
    <row r="105" spans="1:16" ht="12.5">
      <c r="B105" s="160" t="str">
        <f t="shared" si="28"/>
        <v/>
      </c>
      <c r="C105" s="473">
        <f>IF(D93="","-",+C104+1)</f>
        <v>2016</v>
      </c>
      <c r="D105" s="579">
        <v>20609.5</v>
      </c>
      <c r="E105" s="580">
        <v>480</v>
      </c>
      <c r="F105" s="581">
        <v>20129.5</v>
      </c>
      <c r="G105" s="581">
        <v>20369.5</v>
      </c>
      <c r="H105" s="583">
        <v>3105.9493466960757</v>
      </c>
      <c r="I105" s="584">
        <v>3105.9493466960757</v>
      </c>
      <c r="J105" s="479">
        <f t="shared" si="29"/>
        <v>0</v>
      </c>
      <c r="K105" s="479"/>
      <c r="L105" s="541">
        <f>H105</f>
        <v>3105.9493466960757</v>
      </c>
      <c r="M105" s="542">
        <f>IF(L105&lt;&gt;0,+H105-L105,0)</f>
        <v>0</v>
      </c>
      <c r="N105" s="541">
        <f>I105</f>
        <v>3105.9493466960757</v>
      </c>
      <c r="O105" s="479">
        <f>IF(N105&lt;&gt;0,+I105-N105,0)</f>
        <v>0</v>
      </c>
      <c r="P105" s="479">
        <f>+O105-M105</f>
        <v>0</v>
      </c>
    </row>
    <row r="106" spans="1:16" ht="12.5">
      <c r="B106" s="160" t="str">
        <f t="shared" si="28"/>
        <v/>
      </c>
      <c r="C106" s="473">
        <f>IF(D93="","-",+C105+1)</f>
        <v>2017</v>
      </c>
      <c r="D106" s="579">
        <v>20129.5</v>
      </c>
      <c r="E106" s="580">
        <v>480</v>
      </c>
      <c r="F106" s="581">
        <v>19649.5</v>
      </c>
      <c r="G106" s="581">
        <v>19889.5</v>
      </c>
      <c r="H106" s="583">
        <v>3003.0332263920673</v>
      </c>
      <c r="I106" s="584">
        <v>3003.0332263920673</v>
      </c>
      <c r="J106" s="479">
        <f t="shared" si="29"/>
        <v>0</v>
      </c>
      <c r="K106" s="479"/>
      <c r="L106" s="541">
        <f>H106</f>
        <v>3003.0332263920673</v>
      </c>
      <c r="M106" s="542">
        <f>IF(L106&lt;&gt;0,+H106-L106,0)</f>
        <v>0</v>
      </c>
      <c r="N106" s="541">
        <f>I106</f>
        <v>3003.0332263920673</v>
      </c>
      <c r="O106" s="479">
        <f>IF(N106&lt;&gt;0,+I106-N106,0)</f>
        <v>0</v>
      </c>
      <c r="P106" s="479">
        <f>+O106-M106</f>
        <v>0</v>
      </c>
    </row>
    <row r="107" spans="1:16" ht="12.5">
      <c r="B107" s="160" t="str">
        <f t="shared" si="28"/>
        <v/>
      </c>
      <c r="C107" s="473">
        <f>IF(D93="","-",+C106+1)</f>
        <v>2018</v>
      </c>
      <c r="D107" s="579">
        <v>19649.5</v>
      </c>
      <c r="E107" s="580">
        <v>514</v>
      </c>
      <c r="F107" s="581">
        <v>19135.5</v>
      </c>
      <c r="G107" s="581">
        <v>19392.5</v>
      </c>
      <c r="H107" s="583">
        <v>2506.299479691007</v>
      </c>
      <c r="I107" s="584">
        <v>2506.299479691007</v>
      </c>
      <c r="J107" s="479">
        <f t="shared" si="29"/>
        <v>0</v>
      </c>
      <c r="K107" s="479"/>
      <c r="L107" s="541">
        <f>H107</f>
        <v>2506.299479691007</v>
      </c>
      <c r="M107" s="542">
        <f>IF(L107&lt;&gt;0,+H107-L107,0)</f>
        <v>0</v>
      </c>
      <c r="N107" s="541">
        <f>I107</f>
        <v>2506.299479691007</v>
      </c>
      <c r="O107" s="479">
        <f>IF(N107&lt;&gt;0,+I107-N107,0)</f>
        <v>0</v>
      </c>
      <c r="P107" s="479">
        <f>+O107-M107</f>
        <v>0</v>
      </c>
    </row>
    <row r="108" spans="1:16" ht="12.5">
      <c r="B108" s="160" t="str">
        <f t="shared" si="28"/>
        <v/>
      </c>
      <c r="C108" s="473">
        <f>IF(D93="","-",+C107+1)</f>
        <v>2019</v>
      </c>
      <c r="D108" s="347">
        <f>IF(F107+SUM(E$101:E107)=D$92,F107,D$92-SUM(E$101:E107))</f>
        <v>19135.5</v>
      </c>
      <c r="E108" s="485">
        <f>IF(+J96&lt;F107,J96,D108)</f>
        <v>539</v>
      </c>
      <c r="F108" s="486">
        <f t="shared" ref="F108:F133" si="30">+D108-E108</f>
        <v>18596.5</v>
      </c>
      <c r="G108" s="486">
        <f t="shared" ref="G108:G132" si="31">+(F108+D108)/2</f>
        <v>18866</v>
      </c>
      <c r="H108" s="489">
        <f t="shared" ref="H108:H132" si="32">+J$94*G108+E108</f>
        <v>2484.3492160371716</v>
      </c>
      <c r="I108" s="543">
        <f t="shared" ref="I108:I132" si="33">+J$95*G108+E108</f>
        <v>2484.3492160371716</v>
      </c>
      <c r="J108" s="479">
        <f t="shared" si="29"/>
        <v>0</v>
      </c>
      <c r="K108" s="479"/>
      <c r="L108" s="488"/>
      <c r="M108" s="479">
        <f t="shared" ref="M108:M130" si="34">IF(L108&lt;&gt;0,+H110-L108,0)</f>
        <v>0</v>
      </c>
      <c r="N108" s="488"/>
      <c r="O108" s="479">
        <f t="shared" ref="O108:O130" si="35">IF(N108&lt;&gt;0,+I110-N108,0)</f>
        <v>0</v>
      </c>
      <c r="P108" s="479">
        <f t="shared" ref="P108:P130" si="36">+O108-M108</f>
        <v>0</v>
      </c>
    </row>
    <row r="109" spans="1:16" ht="12.5">
      <c r="B109" s="160" t="str">
        <f t="shared" si="28"/>
        <v/>
      </c>
      <c r="C109" s="473">
        <f>IF(D93="","-",+C108+1)</f>
        <v>2020</v>
      </c>
      <c r="D109" s="347">
        <f>IF(F108+SUM(E$101:E108)=D$92,F108,D$92-SUM(E$101:E108))</f>
        <v>18596.5</v>
      </c>
      <c r="E109" s="487">
        <f>IF(+J96&lt;F108,J96,D109)</f>
        <v>539</v>
      </c>
      <c r="F109" s="486">
        <f t="shared" si="30"/>
        <v>18057.5</v>
      </c>
      <c r="G109" s="486">
        <f t="shared" si="31"/>
        <v>18327</v>
      </c>
      <c r="H109" s="489">
        <f t="shared" si="32"/>
        <v>2428.7707559797118</v>
      </c>
      <c r="I109" s="543">
        <f t="shared" si="33"/>
        <v>2428.7707559797118</v>
      </c>
      <c r="J109" s="479">
        <f t="shared" si="29"/>
        <v>0</v>
      </c>
      <c r="K109" s="479"/>
      <c r="L109" s="488"/>
      <c r="M109" s="479">
        <f t="shared" si="34"/>
        <v>0</v>
      </c>
      <c r="N109" s="488"/>
      <c r="O109" s="479">
        <f t="shared" si="35"/>
        <v>0</v>
      </c>
      <c r="P109" s="479">
        <f t="shared" si="36"/>
        <v>0</v>
      </c>
    </row>
    <row r="110" spans="1:16" ht="12.5">
      <c r="B110" s="160" t="str">
        <f t="shared" si="28"/>
        <v/>
      </c>
      <c r="C110" s="473">
        <f>IF(D93="","-",+C109+1)</f>
        <v>2021</v>
      </c>
      <c r="D110" s="347">
        <f>IF(F109+SUM(E$101:E109)=D$92,F109,D$92-SUM(E$101:E109))</f>
        <v>18057.5</v>
      </c>
      <c r="E110" s="487">
        <f>IF(+J96&lt;F109,J96,D110)</f>
        <v>539</v>
      </c>
      <c r="F110" s="486">
        <f t="shared" si="30"/>
        <v>17518.5</v>
      </c>
      <c r="G110" s="486">
        <f t="shared" si="31"/>
        <v>17788</v>
      </c>
      <c r="H110" s="489">
        <f t="shared" si="32"/>
        <v>2373.192295922252</v>
      </c>
      <c r="I110" s="543">
        <f t="shared" si="33"/>
        <v>2373.192295922252</v>
      </c>
      <c r="J110" s="479">
        <f t="shared" si="29"/>
        <v>0</v>
      </c>
      <c r="K110" s="479"/>
      <c r="L110" s="488"/>
      <c r="M110" s="479">
        <f t="shared" si="34"/>
        <v>0</v>
      </c>
      <c r="N110" s="488"/>
      <c r="O110" s="479">
        <f t="shared" si="35"/>
        <v>0</v>
      </c>
      <c r="P110" s="479">
        <f t="shared" si="36"/>
        <v>0</v>
      </c>
    </row>
    <row r="111" spans="1:16" ht="12.5">
      <c r="B111" s="160" t="str">
        <f t="shared" si="28"/>
        <v/>
      </c>
      <c r="C111" s="473">
        <f>IF(D93="","-",+C110+1)</f>
        <v>2022</v>
      </c>
      <c r="D111" s="347">
        <f>IF(F110+SUM(E$101:E110)=D$92,F110,D$92-SUM(E$101:E110))</f>
        <v>17518.5</v>
      </c>
      <c r="E111" s="487">
        <f>IF(+J96&lt;F110,J96,D111)</f>
        <v>539</v>
      </c>
      <c r="F111" s="486">
        <f t="shared" si="30"/>
        <v>16979.5</v>
      </c>
      <c r="G111" s="486">
        <f t="shared" si="31"/>
        <v>17249</v>
      </c>
      <c r="H111" s="489">
        <f t="shared" si="32"/>
        <v>2317.6138358647922</v>
      </c>
      <c r="I111" s="543">
        <f t="shared" si="33"/>
        <v>2317.6138358647922</v>
      </c>
      <c r="J111" s="479">
        <f t="shared" si="29"/>
        <v>0</v>
      </c>
      <c r="K111" s="479"/>
      <c r="L111" s="488"/>
      <c r="M111" s="479">
        <f t="shared" si="34"/>
        <v>0</v>
      </c>
      <c r="N111" s="488"/>
      <c r="O111" s="479">
        <f t="shared" si="35"/>
        <v>0</v>
      </c>
      <c r="P111" s="479">
        <f t="shared" si="36"/>
        <v>0</v>
      </c>
    </row>
    <row r="112" spans="1:16" ht="12.5">
      <c r="B112" s="160" t="str">
        <f t="shared" si="28"/>
        <v/>
      </c>
      <c r="C112" s="473">
        <f>IF(D93="","-",+C111+1)</f>
        <v>2023</v>
      </c>
      <c r="D112" s="347">
        <f>IF(F111+SUM(E$101:E111)=D$92,F111,D$92-SUM(E$101:E111))</f>
        <v>16979.5</v>
      </c>
      <c r="E112" s="487">
        <f>IF(+J96&lt;F111,J96,D112)</f>
        <v>539</v>
      </c>
      <c r="F112" s="486">
        <f t="shared" si="30"/>
        <v>16440.5</v>
      </c>
      <c r="G112" s="486">
        <f t="shared" si="31"/>
        <v>16710</v>
      </c>
      <c r="H112" s="489">
        <f t="shared" si="32"/>
        <v>2262.0353758073325</v>
      </c>
      <c r="I112" s="543">
        <f t="shared" si="33"/>
        <v>2262.0353758073325</v>
      </c>
      <c r="J112" s="479">
        <f t="shared" si="29"/>
        <v>0</v>
      </c>
      <c r="K112" s="479"/>
      <c r="L112" s="488"/>
      <c r="M112" s="479">
        <f t="shared" si="34"/>
        <v>0</v>
      </c>
      <c r="N112" s="488"/>
      <c r="O112" s="479">
        <f t="shared" si="35"/>
        <v>0</v>
      </c>
      <c r="P112" s="479">
        <f t="shared" si="36"/>
        <v>0</v>
      </c>
    </row>
    <row r="113" spans="2:16" ht="12.5">
      <c r="B113" s="160" t="str">
        <f t="shared" si="28"/>
        <v/>
      </c>
      <c r="C113" s="473">
        <f>IF(D93="","-",+C112+1)</f>
        <v>2024</v>
      </c>
      <c r="D113" s="347">
        <f>IF(F112+SUM(E$101:E112)=D$92,F112,D$92-SUM(E$101:E112))</f>
        <v>16440.5</v>
      </c>
      <c r="E113" s="487">
        <f>IF(+J96&lt;F112,J96,D113)</f>
        <v>539</v>
      </c>
      <c r="F113" s="486">
        <f t="shared" si="30"/>
        <v>15901.5</v>
      </c>
      <c r="G113" s="486">
        <f t="shared" si="31"/>
        <v>16171</v>
      </c>
      <c r="H113" s="489">
        <f t="shared" si="32"/>
        <v>2206.4569157498727</v>
      </c>
      <c r="I113" s="543">
        <f t="shared" si="33"/>
        <v>2206.4569157498727</v>
      </c>
      <c r="J113" s="479">
        <f t="shared" si="29"/>
        <v>0</v>
      </c>
      <c r="K113" s="479"/>
      <c r="L113" s="488"/>
      <c r="M113" s="479">
        <f t="shared" si="34"/>
        <v>0</v>
      </c>
      <c r="N113" s="488"/>
      <c r="O113" s="479">
        <f t="shared" si="35"/>
        <v>0</v>
      </c>
      <c r="P113" s="479">
        <f t="shared" si="36"/>
        <v>0</v>
      </c>
    </row>
    <row r="114" spans="2:16" ht="12.5">
      <c r="B114" s="160" t="str">
        <f t="shared" si="28"/>
        <v/>
      </c>
      <c r="C114" s="473">
        <f>IF(D93="","-",+C113+1)</f>
        <v>2025</v>
      </c>
      <c r="D114" s="347">
        <f>IF(F113+SUM(E$101:E113)=D$92,F113,D$92-SUM(E$101:E113))</f>
        <v>15901.5</v>
      </c>
      <c r="E114" s="487">
        <f>IF(+J96&lt;F113,J96,D114)</f>
        <v>539</v>
      </c>
      <c r="F114" s="486">
        <f t="shared" si="30"/>
        <v>15362.5</v>
      </c>
      <c r="G114" s="486">
        <f t="shared" si="31"/>
        <v>15632</v>
      </c>
      <c r="H114" s="489">
        <f t="shared" si="32"/>
        <v>2150.8784556924129</v>
      </c>
      <c r="I114" s="543">
        <f t="shared" si="33"/>
        <v>2150.8784556924129</v>
      </c>
      <c r="J114" s="479">
        <f t="shared" si="29"/>
        <v>0</v>
      </c>
      <c r="K114" s="479"/>
      <c r="L114" s="488"/>
      <c r="M114" s="479">
        <f t="shared" si="34"/>
        <v>0</v>
      </c>
      <c r="N114" s="488"/>
      <c r="O114" s="479">
        <f t="shared" si="35"/>
        <v>0</v>
      </c>
      <c r="P114" s="479">
        <f t="shared" si="36"/>
        <v>0</v>
      </c>
    </row>
    <row r="115" spans="2:16" ht="12.5">
      <c r="B115" s="160" t="str">
        <f t="shared" si="28"/>
        <v/>
      </c>
      <c r="C115" s="473">
        <f>IF(D93="","-",+C114+1)</f>
        <v>2026</v>
      </c>
      <c r="D115" s="347">
        <f>IF(F114+SUM(E$101:E114)=D$92,F114,D$92-SUM(E$101:E114))</f>
        <v>15362.5</v>
      </c>
      <c r="E115" s="487">
        <f>IF(+J96&lt;F114,J96,D115)</f>
        <v>539</v>
      </c>
      <c r="F115" s="486">
        <f t="shared" si="30"/>
        <v>14823.5</v>
      </c>
      <c r="G115" s="486">
        <f t="shared" si="31"/>
        <v>15093</v>
      </c>
      <c r="H115" s="489">
        <f t="shared" si="32"/>
        <v>2095.2999956349531</v>
      </c>
      <c r="I115" s="543">
        <f t="shared" si="33"/>
        <v>2095.2999956349531</v>
      </c>
      <c r="J115" s="479">
        <f t="shared" si="29"/>
        <v>0</v>
      </c>
      <c r="K115" s="479"/>
      <c r="L115" s="488"/>
      <c r="M115" s="479">
        <f t="shared" si="34"/>
        <v>0</v>
      </c>
      <c r="N115" s="488"/>
      <c r="O115" s="479">
        <f t="shared" si="35"/>
        <v>0</v>
      </c>
      <c r="P115" s="479">
        <f t="shared" si="36"/>
        <v>0</v>
      </c>
    </row>
    <row r="116" spans="2:16" ht="12.5">
      <c r="B116" s="160" t="str">
        <f t="shared" si="28"/>
        <v/>
      </c>
      <c r="C116" s="473">
        <f>IF(D93="","-",+C115+1)</f>
        <v>2027</v>
      </c>
      <c r="D116" s="347">
        <f>IF(F115+SUM(E$101:E115)=D$92,F115,D$92-SUM(E$101:E115))</f>
        <v>14823.5</v>
      </c>
      <c r="E116" s="487">
        <f>IF(+J96&lt;F115,J96,D116)</f>
        <v>539</v>
      </c>
      <c r="F116" s="486">
        <f t="shared" si="30"/>
        <v>14284.5</v>
      </c>
      <c r="G116" s="486">
        <f t="shared" si="31"/>
        <v>14554</v>
      </c>
      <c r="H116" s="489">
        <f t="shared" si="32"/>
        <v>2039.7215355774936</v>
      </c>
      <c r="I116" s="543">
        <f t="shared" si="33"/>
        <v>2039.7215355774936</v>
      </c>
      <c r="J116" s="479">
        <f t="shared" si="29"/>
        <v>0</v>
      </c>
      <c r="K116" s="479"/>
      <c r="L116" s="488"/>
      <c r="M116" s="479">
        <f t="shared" si="34"/>
        <v>0</v>
      </c>
      <c r="N116" s="488"/>
      <c r="O116" s="479">
        <f t="shared" si="35"/>
        <v>0</v>
      </c>
      <c r="P116" s="479">
        <f t="shared" si="36"/>
        <v>0</v>
      </c>
    </row>
    <row r="117" spans="2:16" ht="12.5">
      <c r="B117" s="160" t="str">
        <f t="shared" si="28"/>
        <v/>
      </c>
      <c r="C117" s="473">
        <f>IF(D93="","-",+C116+1)</f>
        <v>2028</v>
      </c>
      <c r="D117" s="347">
        <f>IF(F116+SUM(E$101:E116)=D$92,F116,D$92-SUM(E$101:E116))</f>
        <v>14284.5</v>
      </c>
      <c r="E117" s="487">
        <f>IF(+J96&lt;F116,J96,D117)</f>
        <v>539</v>
      </c>
      <c r="F117" s="486">
        <f t="shared" si="30"/>
        <v>13745.5</v>
      </c>
      <c r="G117" s="486">
        <f t="shared" si="31"/>
        <v>14015</v>
      </c>
      <c r="H117" s="489">
        <f t="shared" si="32"/>
        <v>1984.143075520034</v>
      </c>
      <c r="I117" s="543">
        <f t="shared" si="33"/>
        <v>1984.143075520034</v>
      </c>
      <c r="J117" s="479">
        <f t="shared" si="29"/>
        <v>0</v>
      </c>
      <c r="K117" s="479"/>
      <c r="L117" s="488"/>
      <c r="M117" s="479">
        <f t="shared" si="34"/>
        <v>0</v>
      </c>
      <c r="N117" s="488"/>
      <c r="O117" s="479">
        <f t="shared" si="35"/>
        <v>0</v>
      </c>
      <c r="P117" s="479">
        <f t="shared" si="36"/>
        <v>0</v>
      </c>
    </row>
    <row r="118" spans="2:16" ht="12.5">
      <c r="B118" s="160" t="str">
        <f t="shared" si="28"/>
        <v/>
      </c>
      <c r="C118" s="473">
        <f>IF(D93="","-",+C117+1)</f>
        <v>2029</v>
      </c>
      <c r="D118" s="347">
        <f>IF(F117+SUM(E$101:E117)=D$92,F117,D$92-SUM(E$101:E117))</f>
        <v>13745.5</v>
      </c>
      <c r="E118" s="487">
        <f>IF(+J96&lt;F117,J96,D118)</f>
        <v>539</v>
      </c>
      <c r="F118" s="486">
        <f t="shared" si="30"/>
        <v>13206.5</v>
      </c>
      <c r="G118" s="486">
        <f t="shared" si="31"/>
        <v>13476</v>
      </c>
      <c r="H118" s="489">
        <f t="shared" si="32"/>
        <v>1928.5646154625742</v>
      </c>
      <c r="I118" s="543">
        <f t="shared" si="33"/>
        <v>1928.5646154625742</v>
      </c>
      <c r="J118" s="479">
        <f t="shared" si="29"/>
        <v>0</v>
      </c>
      <c r="K118" s="479"/>
      <c r="L118" s="488"/>
      <c r="M118" s="479">
        <f t="shared" si="34"/>
        <v>0</v>
      </c>
      <c r="N118" s="488"/>
      <c r="O118" s="479">
        <f t="shared" si="35"/>
        <v>0</v>
      </c>
      <c r="P118" s="479">
        <f t="shared" si="36"/>
        <v>0</v>
      </c>
    </row>
    <row r="119" spans="2:16" ht="12.5">
      <c r="B119" s="160" t="str">
        <f t="shared" si="28"/>
        <v/>
      </c>
      <c r="C119" s="473">
        <f>IF(D93="","-",+C118+1)</f>
        <v>2030</v>
      </c>
      <c r="D119" s="347">
        <f>IF(F118+SUM(E$101:E118)=D$92,F118,D$92-SUM(E$101:E118))</f>
        <v>13206.5</v>
      </c>
      <c r="E119" s="487">
        <f t="shared" ref="E119:E154" si="37">IF(+J$96&lt;F118,J$96,D119)</f>
        <v>539</v>
      </c>
      <c r="F119" s="486">
        <f t="shared" si="30"/>
        <v>12667.5</v>
      </c>
      <c r="G119" s="486">
        <f t="shared" si="31"/>
        <v>12937</v>
      </c>
      <c r="H119" s="489">
        <f t="shared" si="32"/>
        <v>1872.9861554051145</v>
      </c>
      <c r="I119" s="543">
        <f t="shared" si="33"/>
        <v>1872.9861554051145</v>
      </c>
      <c r="J119" s="479">
        <f t="shared" si="29"/>
        <v>0</v>
      </c>
      <c r="K119" s="479"/>
      <c r="L119" s="488"/>
      <c r="M119" s="479">
        <f t="shared" si="34"/>
        <v>0</v>
      </c>
      <c r="N119" s="488"/>
      <c r="O119" s="479">
        <f t="shared" si="35"/>
        <v>0</v>
      </c>
      <c r="P119" s="479">
        <f t="shared" si="36"/>
        <v>0</v>
      </c>
    </row>
    <row r="120" spans="2:16" ht="12.5">
      <c r="B120" s="160" t="str">
        <f t="shared" si="28"/>
        <v/>
      </c>
      <c r="C120" s="473">
        <f>IF(D93="","-",+C119+1)</f>
        <v>2031</v>
      </c>
      <c r="D120" s="347">
        <f>IF(F119+SUM(E$101:E119)=D$92,F119,D$92-SUM(E$101:E119))</f>
        <v>12667.5</v>
      </c>
      <c r="E120" s="487">
        <f t="shared" si="37"/>
        <v>539</v>
      </c>
      <c r="F120" s="486">
        <f t="shared" si="30"/>
        <v>12128.5</v>
      </c>
      <c r="G120" s="486">
        <f t="shared" si="31"/>
        <v>12398</v>
      </c>
      <c r="H120" s="489">
        <f t="shared" si="32"/>
        <v>1817.4076953476547</v>
      </c>
      <c r="I120" s="543">
        <f t="shared" si="33"/>
        <v>1817.4076953476547</v>
      </c>
      <c r="J120" s="479">
        <f t="shared" si="29"/>
        <v>0</v>
      </c>
      <c r="K120" s="479"/>
      <c r="L120" s="488"/>
      <c r="M120" s="479">
        <f t="shared" si="34"/>
        <v>0</v>
      </c>
      <c r="N120" s="488"/>
      <c r="O120" s="479">
        <f t="shared" si="35"/>
        <v>0</v>
      </c>
      <c r="P120" s="479">
        <f t="shared" si="36"/>
        <v>0</v>
      </c>
    </row>
    <row r="121" spans="2:16" ht="12.5">
      <c r="B121" s="160" t="str">
        <f t="shared" si="28"/>
        <v/>
      </c>
      <c r="C121" s="473">
        <f>IF(D93="","-",+C120+1)</f>
        <v>2032</v>
      </c>
      <c r="D121" s="347">
        <f>IF(F120+SUM(E$101:E120)=D$92,F120,D$92-SUM(E$101:E120))</f>
        <v>12128.5</v>
      </c>
      <c r="E121" s="487">
        <f t="shared" si="37"/>
        <v>539</v>
      </c>
      <c r="F121" s="486">
        <f t="shared" si="30"/>
        <v>11589.5</v>
      </c>
      <c r="G121" s="486">
        <f t="shared" si="31"/>
        <v>11859</v>
      </c>
      <c r="H121" s="489">
        <f t="shared" si="32"/>
        <v>1761.8292352901949</v>
      </c>
      <c r="I121" s="543">
        <f t="shared" si="33"/>
        <v>1761.8292352901949</v>
      </c>
      <c r="J121" s="479">
        <f t="shared" si="29"/>
        <v>0</v>
      </c>
      <c r="K121" s="479"/>
      <c r="L121" s="488"/>
      <c r="M121" s="479">
        <f t="shared" si="34"/>
        <v>0</v>
      </c>
      <c r="N121" s="488"/>
      <c r="O121" s="479">
        <f t="shared" si="35"/>
        <v>0</v>
      </c>
      <c r="P121" s="479">
        <f t="shared" si="36"/>
        <v>0</v>
      </c>
    </row>
    <row r="122" spans="2:16" ht="12.5">
      <c r="B122" s="160" t="str">
        <f t="shared" si="28"/>
        <v/>
      </c>
      <c r="C122" s="473">
        <f>IF(D93="","-",+C121+1)</f>
        <v>2033</v>
      </c>
      <c r="D122" s="347">
        <f>IF(F121+SUM(E$101:E121)=D$92,F121,D$92-SUM(E$101:E121))</f>
        <v>11589.5</v>
      </c>
      <c r="E122" s="487">
        <f t="shared" si="37"/>
        <v>539</v>
      </c>
      <c r="F122" s="486">
        <f t="shared" si="30"/>
        <v>11050.5</v>
      </c>
      <c r="G122" s="486">
        <f t="shared" si="31"/>
        <v>11320</v>
      </c>
      <c r="H122" s="489">
        <f t="shared" si="32"/>
        <v>1706.2507752327351</v>
      </c>
      <c r="I122" s="543">
        <f t="shared" si="33"/>
        <v>1706.2507752327351</v>
      </c>
      <c r="J122" s="479">
        <f t="shared" si="29"/>
        <v>0</v>
      </c>
      <c r="K122" s="479"/>
      <c r="L122" s="488"/>
      <c r="M122" s="479">
        <f t="shared" si="34"/>
        <v>0</v>
      </c>
      <c r="N122" s="488"/>
      <c r="O122" s="479">
        <f t="shared" si="35"/>
        <v>0</v>
      </c>
      <c r="P122" s="479">
        <f t="shared" si="36"/>
        <v>0</v>
      </c>
    </row>
    <row r="123" spans="2:16" ht="12.5">
      <c r="B123" s="160" t="str">
        <f t="shared" si="28"/>
        <v/>
      </c>
      <c r="C123" s="473">
        <f>IF(D93="","-",+C122+1)</f>
        <v>2034</v>
      </c>
      <c r="D123" s="347">
        <f>IF(F122+SUM(E$101:E122)=D$92,F122,D$92-SUM(E$101:E122))</f>
        <v>11050.5</v>
      </c>
      <c r="E123" s="487">
        <f t="shared" si="37"/>
        <v>539</v>
      </c>
      <c r="F123" s="486">
        <f t="shared" si="30"/>
        <v>10511.5</v>
      </c>
      <c r="G123" s="486">
        <f t="shared" si="31"/>
        <v>10781</v>
      </c>
      <c r="H123" s="489">
        <f t="shared" si="32"/>
        <v>1650.6723151752756</v>
      </c>
      <c r="I123" s="543">
        <f t="shared" si="33"/>
        <v>1650.6723151752756</v>
      </c>
      <c r="J123" s="479">
        <f t="shared" si="29"/>
        <v>0</v>
      </c>
      <c r="K123" s="479"/>
      <c r="L123" s="488"/>
      <c r="M123" s="479">
        <f t="shared" si="34"/>
        <v>0</v>
      </c>
      <c r="N123" s="488"/>
      <c r="O123" s="479">
        <f t="shared" si="35"/>
        <v>0</v>
      </c>
      <c r="P123" s="479">
        <f t="shared" si="36"/>
        <v>0</v>
      </c>
    </row>
    <row r="124" spans="2:16" ht="12.5">
      <c r="B124" s="160" t="str">
        <f t="shared" si="28"/>
        <v/>
      </c>
      <c r="C124" s="473">
        <f>IF(D93="","-",+C123+1)</f>
        <v>2035</v>
      </c>
      <c r="D124" s="347">
        <f>IF(F123+SUM(E$101:E123)=D$92,F123,D$92-SUM(E$101:E123))</f>
        <v>10511.5</v>
      </c>
      <c r="E124" s="487">
        <f t="shared" si="37"/>
        <v>539</v>
      </c>
      <c r="F124" s="486">
        <f t="shared" si="30"/>
        <v>9972.5</v>
      </c>
      <c r="G124" s="486">
        <f t="shared" si="31"/>
        <v>10242</v>
      </c>
      <c r="H124" s="489">
        <f t="shared" si="32"/>
        <v>1595.0938551178158</v>
      </c>
      <c r="I124" s="543">
        <f t="shared" si="33"/>
        <v>1595.0938551178158</v>
      </c>
      <c r="J124" s="479">
        <f t="shared" si="29"/>
        <v>0</v>
      </c>
      <c r="K124" s="479"/>
      <c r="L124" s="488"/>
      <c r="M124" s="479">
        <f t="shared" si="34"/>
        <v>0</v>
      </c>
      <c r="N124" s="488"/>
      <c r="O124" s="479">
        <f t="shared" si="35"/>
        <v>0</v>
      </c>
      <c r="P124" s="479">
        <f t="shared" si="36"/>
        <v>0</v>
      </c>
    </row>
    <row r="125" spans="2:16" ht="12.5">
      <c r="B125" s="160" t="str">
        <f t="shared" si="28"/>
        <v/>
      </c>
      <c r="C125" s="473">
        <f>IF(D93="","-",+C124+1)</f>
        <v>2036</v>
      </c>
      <c r="D125" s="347">
        <f>IF(F124+SUM(E$101:E124)=D$92,F124,D$92-SUM(E$101:E124))</f>
        <v>9972.5</v>
      </c>
      <c r="E125" s="487">
        <f t="shared" si="37"/>
        <v>539</v>
      </c>
      <c r="F125" s="486">
        <f t="shared" si="30"/>
        <v>9433.5</v>
      </c>
      <c r="G125" s="486">
        <f t="shared" si="31"/>
        <v>9703</v>
      </c>
      <c r="H125" s="489">
        <f t="shared" si="32"/>
        <v>1539.515395060356</v>
      </c>
      <c r="I125" s="543">
        <f t="shared" si="33"/>
        <v>1539.515395060356</v>
      </c>
      <c r="J125" s="479">
        <f t="shared" si="29"/>
        <v>0</v>
      </c>
      <c r="K125" s="479"/>
      <c r="L125" s="488"/>
      <c r="M125" s="479">
        <f t="shared" si="34"/>
        <v>0</v>
      </c>
      <c r="N125" s="488"/>
      <c r="O125" s="479">
        <f t="shared" si="35"/>
        <v>0</v>
      </c>
      <c r="P125" s="479">
        <f t="shared" si="36"/>
        <v>0</v>
      </c>
    </row>
    <row r="126" spans="2:16" ht="12.5">
      <c r="B126" s="160" t="str">
        <f t="shared" si="28"/>
        <v/>
      </c>
      <c r="C126" s="473">
        <f>IF(D93="","-",+C125+1)</f>
        <v>2037</v>
      </c>
      <c r="D126" s="347">
        <f>IF(F125+SUM(E$101:E125)=D$92,F125,D$92-SUM(E$101:E125))</f>
        <v>9433.5</v>
      </c>
      <c r="E126" s="487">
        <f t="shared" si="37"/>
        <v>539</v>
      </c>
      <c r="F126" s="486">
        <f t="shared" si="30"/>
        <v>8894.5</v>
      </c>
      <c r="G126" s="486">
        <f t="shared" si="31"/>
        <v>9164</v>
      </c>
      <c r="H126" s="489">
        <f t="shared" si="32"/>
        <v>1483.9369350028962</v>
      </c>
      <c r="I126" s="543">
        <f t="shared" si="33"/>
        <v>1483.9369350028962</v>
      </c>
      <c r="J126" s="479">
        <f t="shared" si="29"/>
        <v>0</v>
      </c>
      <c r="K126" s="479"/>
      <c r="L126" s="488"/>
      <c r="M126" s="479">
        <f t="shared" si="34"/>
        <v>0</v>
      </c>
      <c r="N126" s="488"/>
      <c r="O126" s="479">
        <f t="shared" si="35"/>
        <v>0</v>
      </c>
      <c r="P126" s="479">
        <f t="shared" si="36"/>
        <v>0</v>
      </c>
    </row>
    <row r="127" spans="2:16" ht="12.5">
      <c r="B127" s="160" t="str">
        <f t="shared" si="28"/>
        <v/>
      </c>
      <c r="C127" s="473">
        <f>IF(D93="","-",+C126+1)</f>
        <v>2038</v>
      </c>
      <c r="D127" s="347">
        <f>IF(F126+SUM(E$101:E126)=D$92,F126,D$92-SUM(E$101:E126))</f>
        <v>8894.5</v>
      </c>
      <c r="E127" s="487">
        <f t="shared" si="37"/>
        <v>539</v>
      </c>
      <c r="F127" s="486">
        <f t="shared" si="30"/>
        <v>8355.5</v>
      </c>
      <c r="G127" s="486">
        <f t="shared" si="31"/>
        <v>8625</v>
      </c>
      <c r="H127" s="489">
        <f t="shared" si="32"/>
        <v>1428.3584749454365</v>
      </c>
      <c r="I127" s="543">
        <f t="shared" si="33"/>
        <v>1428.3584749454365</v>
      </c>
      <c r="J127" s="479">
        <f t="shared" si="29"/>
        <v>0</v>
      </c>
      <c r="K127" s="479"/>
      <c r="L127" s="488"/>
      <c r="M127" s="479">
        <f t="shared" si="34"/>
        <v>0</v>
      </c>
      <c r="N127" s="488"/>
      <c r="O127" s="479">
        <f t="shared" si="35"/>
        <v>0</v>
      </c>
      <c r="P127" s="479">
        <f t="shared" si="36"/>
        <v>0</v>
      </c>
    </row>
    <row r="128" spans="2:16" ht="12.5">
      <c r="B128" s="160" t="str">
        <f t="shared" si="28"/>
        <v/>
      </c>
      <c r="C128" s="473">
        <f>IF(D93="","-",+C127+1)</f>
        <v>2039</v>
      </c>
      <c r="D128" s="347">
        <f>IF(F127+SUM(E$101:E127)=D$92,F127,D$92-SUM(E$101:E127))</f>
        <v>8355.5</v>
      </c>
      <c r="E128" s="487">
        <f t="shared" si="37"/>
        <v>539</v>
      </c>
      <c r="F128" s="486">
        <f t="shared" si="30"/>
        <v>7816.5</v>
      </c>
      <c r="G128" s="486">
        <f t="shared" si="31"/>
        <v>8086</v>
      </c>
      <c r="H128" s="489">
        <f t="shared" si="32"/>
        <v>1372.7800148879769</v>
      </c>
      <c r="I128" s="543">
        <f t="shared" si="33"/>
        <v>1372.7800148879769</v>
      </c>
      <c r="J128" s="479">
        <f t="shared" si="29"/>
        <v>0</v>
      </c>
      <c r="K128" s="479"/>
      <c r="L128" s="488"/>
      <c r="M128" s="479">
        <f t="shared" si="34"/>
        <v>0</v>
      </c>
      <c r="N128" s="488"/>
      <c r="O128" s="479">
        <f t="shared" si="35"/>
        <v>0</v>
      </c>
      <c r="P128" s="479">
        <f t="shared" si="36"/>
        <v>0</v>
      </c>
    </row>
    <row r="129" spans="2:16" ht="12.5">
      <c r="B129" s="160" t="str">
        <f t="shared" si="28"/>
        <v/>
      </c>
      <c r="C129" s="473">
        <f>IF(D93="","-",+C128+1)</f>
        <v>2040</v>
      </c>
      <c r="D129" s="347">
        <f>IF(F128+SUM(E$101:E128)=D$92,F128,D$92-SUM(E$101:E128))</f>
        <v>7816.5</v>
      </c>
      <c r="E129" s="487">
        <f t="shared" si="37"/>
        <v>539</v>
      </c>
      <c r="F129" s="486">
        <f t="shared" si="30"/>
        <v>7277.5</v>
      </c>
      <c r="G129" s="486">
        <f t="shared" si="31"/>
        <v>7547</v>
      </c>
      <c r="H129" s="489">
        <f t="shared" si="32"/>
        <v>1317.2015548305171</v>
      </c>
      <c r="I129" s="543">
        <f t="shared" si="33"/>
        <v>1317.2015548305171</v>
      </c>
      <c r="J129" s="479">
        <f t="shared" si="29"/>
        <v>0</v>
      </c>
      <c r="K129" s="479"/>
      <c r="L129" s="488"/>
      <c r="M129" s="479">
        <f t="shared" si="34"/>
        <v>0</v>
      </c>
      <c r="N129" s="488"/>
      <c r="O129" s="479">
        <f t="shared" si="35"/>
        <v>0</v>
      </c>
      <c r="P129" s="479">
        <f t="shared" si="36"/>
        <v>0</v>
      </c>
    </row>
    <row r="130" spans="2:16" ht="12.5">
      <c r="B130" s="160" t="str">
        <f t="shared" si="28"/>
        <v/>
      </c>
      <c r="C130" s="473">
        <f>IF(D93="","-",+C129+1)</f>
        <v>2041</v>
      </c>
      <c r="D130" s="347">
        <f>IF(F129+SUM(E$101:E129)=D$92,F129,D$92-SUM(E$101:E129))</f>
        <v>7277.5</v>
      </c>
      <c r="E130" s="487">
        <f t="shared" si="37"/>
        <v>539</v>
      </c>
      <c r="F130" s="486">
        <f t="shared" si="30"/>
        <v>6738.5</v>
      </c>
      <c r="G130" s="486">
        <f t="shared" si="31"/>
        <v>7008</v>
      </c>
      <c r="H130" s="489">
        <f t="shared" si="32"/>
        <v>1261.6230947730573</v>
      </c>
      <c r="I130" s="543">
        <f t="shared" si="33"/>
        <v>1261.6230947730573</v>
      </c>
      <c r="J130" s="479">
        <f t="shared" si="29"/>
        <v>0</v>
      </c>
      <c r="K130" s="479"/>
      <c r="L130" s="488"/>
      <c r="M130" s="479">
        <f t="shared" si="34"/>
        <v>0</v>
      </c>
      <c r="N130" s="488"/>
      <c r="O130" s="479">
        <f t="shared" si="35"/>
        <v>0</v>
      </c>
      <c r="P130" s="479">
        <f t="shared" si="36"/>
        <v>0</v>
      </c>
    </row>
    <row r="131" spans="2:16" ht="12.5">
      <c r="B131" s="160" t="str">
        <f t="shared" si="28"/>
        <v/>
      </c>
      <c r="C131" s="473">
        <f>IF(D93="","-",+C130+1)</f>
        <v>2042</v>
      </c>
      <c r="D131" s="347">
        <f>IF(F130+SUM(E$101:E130)=D$92,F130,D$92-SUM(E$101:E130))</f>
        <v>6738.5</v>
      </c>
      <c r="E131" s="487">
        <f t="shared" si="37"/>
        <v>539</v>
      </c>
      <c r="F131" s="486">
        <f t="shared" si="30"/>
        <v>6199.5</v>
      </c>
      <c r="G131" s="486">
        <f t="shared" si="31"/>
        <v>6469</v>
      </c>
      <c r="H131" s="489">
        <f t="shared" si="32"/>
        <v>1206.0446347155976</v>
      </c>
      <c r="I131" s="543">
        <f t="shared" si="33"/>
        <v>1206.0446347155976</v>
      </c>
      <c r="J131" s="479">
        <f t="shared" si="29"/>
        <v>0</v>
      </c>
      <c r="K131" s="479"/>
      <c r="L131" s="488"/>
      <c r="M131" s="479">
        <f t="shared" ref="M131:M154" si="38">IF(L541&lt;&gt;0,+H541-L541,0)</f>
        <v>0</v>
      </c>
      <c r="N131" s="488"/>
      <c r="O131" s="479">
        <f t="shared" ref="O131:O154" si="39">IF(N541&lt;&gt;0,+I541-N541,0)</f>
        <v>0</v>
      </c>
      <c r="P131" s="479">
        <f t="shared" ref="P131:P154" si="40">+O541-M541</f>
        <v>0</v>
      </c>
    </row>
    <row r="132" spans="2:16" ht="12.5">
      <c r="B132" s="160" t="str">
        <f t="shared" si="28"/>
        <v/>
      </c>
      <c r="C132" s="473">
        <f>IF(D93="","-",+C131+1)</f>
        <v>2043</v>
      </c>
      <c r="D132" s="347">
        <f>IF(F131+SUM(E$101:E131)=D$92,F131,D$92-SUM(E$101:E131))</f>
        <v>6199.5</v>
      </c>
      <c r="E132" s="487">
        <f t="shared" si="37"/>
        <v>539</v>
      </c>
      <c r="F132" s="486">
        <f t="shared" si="30"/>
        <v>5660.5</v>
      </c>
      <c r="G132" s="486">
        <f t="shared" si="31"/>
        <v>5930</v>
      </c>
      <c r="H132" s="489">
        <f t="shared" si="32"/>
        <v>1150.4661746581378</v>
      </c>
      <c r="I132" s="543">
        <f t="shared" si="33"/>
        <v>1150.4661746581378</v>
      </c>
      <c r="J132" s="479">
        <f t="shared" si="29"/>
        <v>0</v>
      </c>
      <c r="K132" s="479"/>
      <c r="L132" s="488"/>
      <c r="M132" s="479">
        <f t="shared" si="38"/>
        <v>0</v>
      </c>
      <c r="N132" s="488"/>
      <c r="O132" s="479">
        <f t="shared" si="39"/>
        <v>0</v>
      </c>
      <c r="P132" s="479">
        <f t="shared" si="40"/>
        <v>0</v>
      </c>
    </row>
    <row r="133" spans="2:16" ht="12.5">
      <c r="B133" s="160" t="str">
        <f t="shared" si="28"/>
        <v/>
      </c>
      <c r="C133" s="473">
        <f>IF(D93="","-",+C132+1)</f>
        <v>2044</v>
      </c>
      <c r="D133" s="347">
        <f>IF(F132+SUM(E$101:E132)=D$92,F132,D$92-SUM(E$101:E132))</f>
        <v>5660.5</v>
      </c>
      <c r="E133" s="487">
        <f t="shared" si="37"/>
        <v>539</v>
      </c>
      <c r="F133" s="486">
        <f t="shared" si="30"/>
        <v>5121.5</v>
      </c>
      <c r="G133" s="486">
        <f t="shared" ref="G133:G154" si="41">+(F133+D133)/2</f>
        <v>5391</v>
      </c>
      <c r="H133" s="489">
        <f t="shared" ref="H133:H154" si="42">+J$94*G133+E133</f>
        <v>1094.887714600678</v>
      </c>
      <c r="I133" s="543">
        <f t="shared" ref="I133:I154" si="43">+J$95*G133+E133</f>
        <v>1094.887714600678</v>
      </c>
      <c r="J133" s="479">
        <f t="shared" ref="J133:J154" si="44">+I541-H541</f>
        <v>0</v>
      </c>
      <c r="K133" s="479"/>
      <c r="L133" s="488"/>
      <c r="M133" s="479">
        <f t="shared" si="38"/>
        <v>0</v>
      </c>
      <c r="N133" s="488"/>
      <c r="O133" s="479">
        <f t="shared" si="39"/>
        <v>0</v>
      </c>
      <c r="P133" s="479">
        <f t="shared" si="40"/>
        <v>0</v>
      </c>
    </row>
    <row r="134" spans="2:16" ht="12.5">
      <c r="B134" s="160" t="str">
        <f t="shared" ref="B134:B154" si="45">IF(D134=F133,"","IU")</f>
        <v/>
      </c>
      <c r="C134" s="473">
        <f>IF(D93="","-",+C133+1)</f>
        <v>2045</v>
      </c>
      <c r="D134" s="347">
        <f>IF(F133+SUM(E$101:E133)=D$92,F133,D$92-SUM(E$101:E133))</f>
        <v>5121.5</v>
      </c>
      <c r="E134" s="487">
        <f t="shared" si="37"/>
        <v>539</v>
      </c>
      <c r="F134" s="486">
        <f t="shared" ref="F134:F154" si="46">+D134-E134</f>
        <v>4582.5</v>
      </c>
      <c r="G134" s="486">
        <f t="shared" si="41"/>
        <v>4852</v>
      </c>
      <c r="H134" s="489">
        <f t="shared" si="42"/>
        <v>1039.3092545432182</v>
      </c>
      <c r="I134" s="543">
        <f t="shared" si="43"/>
        <v>1039.3092545432182</v>
      </c>
      <c r="J134" s="479">
        <f t="shared" si="44"/>
        <v>0</v>
      </c>
      <c r="K134" s="479"/>
      <c r="L134" s="488"/>
      <c r="M134" s="479">
        <f t="shared" si="38"/>
        <v>0</v>
      </c>
      <c r="N134" s="488"/>
      <c r="O134" s="479">
        <f t="shared" si="39"/>
        <v>0</v>
      </c>
      <c r="P134" s="479">
        <f t="shared" si="40"/>
        <v>0</v>
      </c>
    </row>
    <row r="135" spans="2:16" ht="12.5">
      <c r="B135" s="160" t="str">
        <f t="shared" si="45"/>
        <v/>
      </c>
      <c r="C135" s="473">
        <f>IF(D93="","-",+C134+1)</f>
        <v>2046</v>
      </c>
      <c r="D135" s="347">
        <f>IF(F134+SUM(E$101:E134)=D$92,F134,D$92-SUM(E$101:E134))</f>
        <v>4582.5</v>
      </c>
      <c r="E135" s="487">
        <f t="shared" si="37"/>
        <v>539</v>
      </c>
      <c r="F135" s="486">
        <f t="shared" si="46"/>
        <v>4043.5</v>
      </c>
      <c r="G135" s="486">
        <f t="shared" si="41"/>
        <v>4313</v>
      </c>
      <c r="H135" s="489">
        <f t="shared" si="42"/>
        <v>983.73079448575857</v>
      </c>
      <c r="I135" s="543">
        <f t="shared" si="43"/>
        <v>983.73079448575857</v>
      </c>
      <c r="J135" s="479">
        <f t="shared" si="44"/>
        <v>0</v>
      </c>
      <c r="K135" s="479"/>
      <c r="L135" s="488"/>
      <c r="M135" s="479">
        <f t="shared" si="38"/>
        <v>0</v>
      </c>
      <c r="N135" s="488"/>
      <c r="O135" s="479">
        <f t="shared" si="39"/>
        <v>0</v>
      </c>
      <c r="P135" s="479">
        <f t="shared" si="40"/>
        <v>0</v>
      </c>
    </row>
    <row r="136" spans="2:16" ht="12.5">
      <c r="B136" s="160" t="str">
        <f t="shared" si="45"/>
        <v/>
      </c>
      <c r="C136" s="473">
        <f>IF(D93="","-",+C135+1)</f>
        <v>2047</v>
      </c>
      <c r="D136" s="347">
        <f>IF(F135+SUM(E$101:E135)=D$92,F135,D$92-SUM(E$101:E135))</f>
        <v>4043.5</v>
      </c>
      <c r="E136" s="487">
        <f t="shared" si="37"/>
        <v>539</v>
      </c>
      <c r="F136" s="486">
        <f t="shared" si="46"/>
        <v>3504.5</v>
      </c>
      <c r="G136" s="486">
        <f t="shared" si="41"/>
        <v>3774</v>
      </c>
      <c r="H136" s="489">
        <f t="shared" si="42"/>
        <v>928.1523344282989</v>
      </c>
      <c r="I136" s="543">
        <f t="shared" si="43"/>
        <v>928.1523344282989</v>
      </c>
      <c r="J136" s="479">
        <f t="shared" si="44"/>
        <v>0</v>
      </c>
      <c r="K136" s="479"/>
      <c r="L136" s="488"/>
      <c r="M136" s="479">
        <f t="shared" si="38"/>
        <v>0</v>
      </c>
      <c r="N136" s="488"/>
      <c r="O136" s="479">
        <f t="shared" si="39"/>
        <v>0</v>
      </c>
      <c r="P136" s="479">
        <f t="shared" si="40"/>
        <v>0</v>
      </c>
    </row>
    <row r="137" spans="2:16" ht="12.5">
      <c r="B137" s="160" t="str">
        <f t="shared" si="45"/>
        <v/>
      </c>
      <c r="C137" s="473">
        <f>IF(D93="","-",+C136+1)</f>
        <v>2048</v>
      </c>
      <c r="D137" s="347">
        <f>IF(F136+SUM(E$101:E136)=D$92,F136,D$92-SUM(E$101:E136))</f>
        <v>3504.5</v>
      </c>
      <c r="E137" s="487">
        <f t="shared" si="37"/>
        <v>539</v>
      </c>
      <c r="F137" s="486">
        <f t="shared" si="46"/>
        <v>2965.5</v>
      </c>
      <c r="G137" s="486">
        <f t="shared" si="41"/>
        <v>3235</v>
      </c>
      <c r="H137" s="489">
        <f t="shared" si="42"/>
        <v>872.57387437083912</v>
      </c>
      <c r="I137" s="543">
        <f t="shared" si="43"/>
        <v>872.57387437083912</v>
      </c>
      <c r="J137" s="479">
        <f t="shared" si="44"/>
        <v>0</v>
      </c>
      <c r="K137" s="479"/>
      <c r="L137" s="488"/>
      <c r="M137" s="479">
        <f t="shared" si="38"/>
        <v>0</v>
      </c>
      <c r="N137" s="488"/>
      <c r="O137" s="479">
        <f t="shared" si="39"/>
        <v>0</v>
      </c>
      <c r="P137" s="479">
        <f t="shared" si="40"/>
        <v>0</v>
      </c>
    </row>
    <row r="138" spans="2:16" ht="12.5">
      <c r="B138" s="160" t="str">
        <f t="shared" si="45"/>
        <v/>
      </c>
      <c r="C138" s="473">
        <f>IF(D93="","-",+C137+1)</f>
        <v>2049</v>
      </c>
      <c r="D138" s="347">
        <f>IF(F137+SUM(E$101:E137)=D$92,F137,D$92-SUM(E$101:E137))</f>
        <v>2965.5</v>
      </c>
      <c r="E138" s="487">
        <f t="shared" si="37"/>
        <v>539</v>
      </c>
      <c r="F138" s="486">
        <f t="shared" si="46"/>
        <v>2426.5</v>
      </c>
      <c r="G138" s="486">
        <f t="shared" si="41"/>
        <v>2696</v>
      </c>
      <c r="H138" s="489">
        <f t="shared" si="42"/>
        <v>816.99541431337934</v>
      </c>
      <c r="I138" s="543">
        <f t="shared" si="43"/>
        <v>816.99541431337934</v>
      </c>
      <c r="J138" s="479">
        <f t="shared" si="44"/>
        <v>0</v>
      </c>
      <c r="K138" s="479"/>
      <c r="L138" s="488"/>
      <c r="M138" s="479">
        <f t="shared" si="38"/>
        <v>0</v>
      </c>
      <c r="N138" s="488"/>
      <c r="O138" s="479">
        <f t="shared" si="39"/>
        <v>0</v>
      </c>
      <c r="P138" s="479">
        <f t="shared" si="40"/>
        <v>0</v>
      </c>
    </row>
    <row r="139" spans="2:16" ht="12.5">
      <c r="B139" s="160" t="str">
        <f t="shared" si="45"/>
        <v/>
      </c>
      <c r="C139" s="473">
        <f>IF(D93="","-",+C138+1)</f>
        <v>2050</v>
      </c>
      <c r="D139" s="347">
        <f>IF(F138+SUM(E$101:E138)=D$92,F138,D$92-SUM(E$101:E138))</f>
        <v>2426.5</v>
      </c>
      <c r="E139" s="487">
        <f t="shared" si="37"/>
        <v>539</v>
      </c>
      <c r="F139" s="486">
        <f t="shared" si="46"/>
        <v>1887.5</v>
      </c>
      <c r="G139" s="486">
        <f t="shared" si="41"/>
        <v>2157</v>
      </c>
      <c r="H139" s="489">
        <f t="shared" si="42"/>
        <v>761.41695425591956</v>
      </c>
      <c r="I139" s="543">
        <f t="shared" si="43"/>
        <v>761.41695425591956</v>
      </c>
      <c r="J139" s="479">
        <f t="shared" si="44"/>
        <v>0</v>
      </c>
      <c r="K139" s="479"/>
      <c r="L139" s="488"/>
      <c r="M139" s="479">
        <f t="shared" si="38"/>
        <v>0</v>
      </c>
      <c r="N139" s="488"/>
      <c r="O139" s="479">
        <f t="shared" si="39"/>
        <v>0</v>
      </c>
      <c r="P139" s="479">
        <f t="shared" si="40"/>
        <v>0</v>
      </c>
    </row>
    <row r="140" spans="2:16" ht="12.5">
      <c r="B140" s="160" t="str">
        <f t="shared" si="45"/>
        <v/>
      </c>
      <c r="C140" s="473">
        <f>IF(D93="","-",+C139+1)</f>
        <v>2051</v>
      </c>
      <c r="D140" s="347">
        <f>IF(F139+SUM(E$101:E139)=D$92,F139,D$92-SUM(E$101:E139))</f>
        <v>1887.5</v>
      </c>
      <c r="E140" s="487">
        <f t="shared" si="37"/>
        <v>539</v>
      </c>
      <c r="F140" s="486">
        <f t="shared" si="46"/>
        <v>1348.5</v>
      </c>
      <c r="G140" s="486">
        <f t="shared" si="41"/>
        <v>1618</v>
      </c>
      <c r="H140" s="489">
        <f t="shared" si="42"/>
        <v>705.8384941984599</v>
      </c>
      <c r="I140" s="543">
        <f t="shared" si="43"/>
        <v>705.8384941984599</v>
      </c>
      <c r="J140" s="479">
        <f t="shared" si="44"/>
        <v>0</v>
      </c>
      <c r="K140" s="479"/>
      <c r="L140" s="488"/>
      <c r="M140" s="479">
        <f t="shared" si="38"/>
        <v>0</v>
      </c>
      <c r="N140" s="488"/>
      <c r="O140" s="479">
        <f t="shared" si="39"/>
        <v>0</v>
      </c>
      <c r="P140" s="479">
        <f t="shared" si="40"/>
        <v>0</v>
      </c>
    </row>
    <row r="141" spans="2:16" ht="12.5">
      <c r="B141" s="160" t="str">
        <f t="shared" si="45"/>
        <v/>
      </c>
      <c r="C141" s="473">
        <f>IF(D93="","-",+C140+1)</f>
        <v>2052</v>
      </c>
      <c r="D141" s="347">
        <f>IF(F140+SUM(E$101:E140)=D$92,F140,D$92-SUM(E$101:E140))</f>
        <v>1348.5</v>
      </c>
      <c r="E141" s="487">
        <f t="shared" si="37"/>
        <v>539</v>
      </c>
      <c r="F141" s="486">
        <f t="shared" si="46"/>
        <v>809.5</v>
      </c>
      <c r="G141" s="486">
        <f t="shared" si="41"/>
        <v>1079</v>
      </c>
      <c r="H141" s="489">
        <f t="shared" si="42"/>
        <v>650.26003414100012</v>
      </c>
      <c r="I141" s="543">
        <f t="shared" si="43"/>
        <v>650.26003414100012</v>
      </c>
      <c r="J141" s="479">
        <f t="shared" si="44"/>
        <v>0</v>
      </c>
      <c r="K141" s="479"/>
      <c r="L141" s="488"/>
      <c r="M141" s="479">
        <f t="shared" si="38"/>
        <v>0</v>
      </c>
      <c r="N141" s="488"/>
      <c r="O141" s="479">
        <f t="shared" si="39"/>
        <v>0</v>
      </c>
      <c r="P141" s="479">
        <f t="shared" si="40"/>
        <v>0</v>
      </c>
    </row>
    <row r="142" spans="2:16" ht="12.5">
      <c r="B142" s="160" t="str">
        <f t="shared" si="45"/>
        <v/>
      </c>
      <c r="C142" s="473">
        <f>IF(D93="","-",+C141+1)</f>
        <v>2053</v>
      </c>
      <c r="D142" s="347">
        <f>IF(F141+SUM(E$101:E141)=D$92,F141,D$92-SUM(E$101:E141))</f>
        <v>809.5</v>
      </c>
      <c r="E142" s="487">
        <f t="shared" si="37"/>
        <v>539</v>
      </c>
      <c r="F142" s="486">
        <f t="shared" si="46"/>
        <v>270.5</v>
      </c>
      <c r="G142" s="486">
        <f t="shared" si="41"/>
        <v>540</v>
      </c>
      <c r="H142" s="489">
        <f t="shared" si="42"/>
        <v>594.68157408354034</v>
      </c>
      <c r="I142" s="543">
        <f t="shared" si="43"/>
        <v>594.68157408354034</v>
      </c>
      <c r="J142" s="479">
        <f t="shared" si="44"/>
        <v>0</v>
      </c>
      <c r="K142" s="479"/>
      <c r="L142" s="488"/>
      <c r="M142" s="479">
        <f t="shared" si="38"/>
        <v>0</v>
      </c>
      <c r="N142" s="488"/>
      <c r="O142" s="479">
        <f t="shared" si="39"/>
        <v>0</v>
      </c>
      <c r="P142" s="479">
        <f t="shared" si="40"/>
        <v>0</v>
      </c>
    </row>
    <row r="143" spans="2:16" ht="12.5">
      <c r="B143" s="160" t="str">
        <f t="shared" si="45"/>
        <v/>
      </c>
      <c r="C143" s="473">
        <f>IF(D93="","-",+C142+1)</f>
        <v>2054</v>
      </c>
      <c r="D143" s="347">
        <f>IF(F142+SUM(E$101:E142)=D$92,F142,D$92-SUM(E$101:E142))</f>
        <v>270.5</v>
      </c>
      <c r="E143" s="487">
        <f t="shared" si="37"/>
        <v>270.5</v>
      </c>
      <c r="F143" s="486">
        <f t="shared" si="46"/>
        <v>0</v>
      </c>
      <c r="G143" s="486">
        <f t="shared" si="41"/>
        <v>135.25</v>
      </c>
      <c r="H143" s="489">
        <f t="shared" si="42"/>
        <v>284.44617202740523</v>
      </c>
      <c r="I143" s="543">
        <f t="shared" si="43"/>
        <v>284.44617202740523</v>
      </c>
      <c r="J143" s="479">
        <f t="shared" si="44"/>
        <v>0</v>
      </c>
      <c r="K143" s="479"/>
      <c r="L143" s="488"/>
      <c r="M143" s="479">
        <f t="shared" si="38"/>
        <v>0</v>
      </c>
      <c r="N143" s="488"/>
      <c r="O143" s="479">
        <f t="shared" si="39"/>
        <v>0</v>
      </c>
      <c r="P143" s="479">
        <f t="shared" si="40"/>
        <v>0</v>
      </c>
    </row>
    <row r="144" spans="2:16" ht="12.5">
      <c r="B144" s="160" t="str">
        <f t="shared" si="45"/>
        <v/>
      </c>
      <c r="C144" s="473">
        <f>IF(D93="","-",+C143+1)</f>
        <v>2055</v>
      </c>
      <c r="D144" s="347">
        <f>IF(F143+SUM(E$101:E143)=D$92,F143,D$92-SUM(E$101:E143))</f>
        <v>0</v>
      </c>
      <c r="E144" s="487">
        <f t="shared" si="37"/>
        <v>0</v>
      </c>
      <c r="F144" s="486">
        <f t="shared" si="46"/>
        <v>0</v>
      </c>
      <c r="G144" s="486">
        <f t="shared" si="41"/>
        <v>0</v>
      </c>
      <c r="H144" s="489">
        <f t="shared" si="42"/>
        <v>0</v>
      </c>
      <c r="I144" s="543">
        <f t="shared" si="43"/>
        <v>0</v>
      </c>
      <c r="J144" s="479">
        <f t="shared" si="44"/>
        <v>0</v>
      </c>
      <c r="K144" s="479"/>
      <c r="L144" s="488"/>
      <c r="M144" s="479">
        <f t="shared" si="38"/>
        <v>0</v>
      </c>
      <c r="N144" s="488"/>
      <c r="O144" s="479">
        <f t="shared" si="39"/>
        <v>0</v>
      </c>
      <c r="P144" s="479">
        <f t="shared" si="40"/>
        <v>0</v>
      </c>
    </row>
    <row r="145" spans="2:16" ht="12.5">
      <c r="B145" s="160" t="str">
        <f t="shared" si="45"/>
        <v/>
      </c>
      <c r="C145" s="473">
        <f>IF(D93="","-",+C144+1)</f>
        <v>2056</v>
      </c>
      <c r="D145" s="347">
        <f>IF(F144+SUM(E$101:E144)=D$92,F144,D$92-SUM(E$101:E144))</f>
        <v>0</v>
      </c>
      <c r="E145" s="487">
        <f t="shared" si="37"/>
        <v>0</v>
      </c>
      <c r="F145" s="486">
        <f t="shared" si="46"/>
        <v>0</v>
      </c>
      <c r="G145" s="486">
        <f t="shared" si="41"/>
        <v>0</v>
      </c>
      <c r="H145" s="489">
        <f t="shared" si="42"/>
        <v>0</v>
      </c>
      <c r="I145" s="543">
        <f t="shared" si="43"/>
        <v>0</v>
      </c>
      <c r="J145" s="479">
        <f t="shared" si="44"/>
        <v>0</v>
      </c>
      <c r="K145" s="479"/>
      <c r="L145" s="488"/>
      <c r="M145" s="479">
        <f t="shared" si="38"/>
        <v>0</v>
      </c>
      <c r="N145" s="488"/>
      <c r="O145" s="479">
        <f t="shared" si="39"/>
        <v>0</v>
      </c>
      <c r="P145" s="479">
        <f t="shared" si="40"/>
        <v>0</v>
      </c>
    </row>
    <row r="146" spans="2:16" ht="12.5">
      <c r="B146" s="160" t="str">
        <f t="shared" si="45"/>
        <v/>
      </c>
      <c r="C146" s="473">
        <f>IF(D93="","-",+C145+1)</f>
        <v>2057</v>
      </c>
      <c r="D146" s="347">
        <f>IF(F145+SUM(E$101:E145)=D$92,F145,D$92-SUM(E$101:E145))</f>
        <v>0</v>
      </c>
      <c r="E146" s="487">
        <f t="shared" si="37"/>
        <v>0</v>
      </c>
      <c r="F146" s="486">
        <f t="shared" si="46"/>
        <v>0</v>
      </c>
      <c r="G146" s="486">
        <f t="shared" si="41"/>
        <v>0</v>
      </c>
      <c r="H146" s="489">
        <f t="shared" si="42"/>
        <v>0</v>
      </c>
      <c r="I146" s="543">
        <f t="shared" si="43"/>
        <v>0</v>
      </c>
      <c r="J146" s="479">
        <f t="shared" si="44"/>
        <v>0</v>
      </c>
      <c r="K146" s="479"/>
      <c r="L146" s="488"/>
      <c r="M146" s="479">
        <f t="shared" si="38"/>
        <v>0</v>
      </c>
      <c r="N146" s="488"/>
      <c r="O146" s="479">
        <f t="shared" si="39"/>
        <v>0</v>
      </c>
      <c r="P146" s="479">
        <f t="shared" si="40"/>
        <v>0</v>
      </c>
    </row>
    <row r="147" spans="2:16" ht="12.5">
      <c r="B147" s="160" t="str">
        <f t="shared" si="45"/>
        <v/>
      </c>
      <c r="C147" s="473">
        <f>IF(D93="","-",+C146+1)</f>
        <v>2058</v>
      </c>
      <c r="D147" s="347">
        <f>IF(F146+SUM(E$101:E146)=D$92,F146,D$92-SUM(E$101:E146))</f>
        <v>0</v>
      </c>
      <c r="E147" s="487">
        <f t="shared" si="37"/>
        <v>0</v>
      </c>
      <c r="F147" s="486">
        <f t="shared" si="46"/>
        <v>0</v>
      </c>
      <c r="G147" s="486">
        <f t="shared" si="41"/>
        <v>0</v>
      </c>
      <c r="H147" s="489">
        <f t="shared" si="42"/>
        <v>0</v>
      </c>
      <c r="I147" s="543">
        <f t="shared" si="43"/>
        <v>0</v>
      </c>
      <c r="J147" s="479">
        <f t="shared" si="44"/>
        <v>0</v>
      </c>
      <c r="K147" s="479"/>
      <c r="L147" s="488"/>
      <c r="M147" s="479">
        <f t="shared" si="38"/>
        <v>0</v>
      </c>
      <c r="N147" s="488"/>
      <c r="O147" s="479">
        <f t="shared" si="39"/>
        <v>0</v>
      </c>
      <c r="P147" s="479">
        <f t="shared" si="40"/>
        <v>0</v>
      </c>
    </row>
    <row r="148" spans="2:16" ht="12.5">
      <c r="B148" s="160" t="str">
        <f t="shared" si="45"/>
        <v/>
      </c>
      <c r="C148" s="473">
        <f>IF(D93="","-",+C147+1)</f>
        <v>2059</v>
      </c>
      <c r="D148" s="347">
        <f>IF(F147+SUM(E$101:E147)=D$92,F147,D$92-SUM(E$101:E147))</f>
        <v>0</v>
      </c>
      <c r="E148" s="487">
        <f t="shared" si="37"/>
        <v>0</v>
      </c>
      <c r="F148" s="486">
        <f t="shared" si="46"/>
        <v>0</v>
      </c>
      <c r="G148" s="486">
        <f t="shared" si="41"/>
        <v>0</v>
      </c>
      <c r="H148" s="489">
        <f t="shared" si="42"/>
        <v>0</v>
      </c>
      <c r="I148" s="543">
        <f t="shared" si="43"/>
        <v>0</v>
      </c>
      <c r="J148" s="479">
        <f t="shared" si="44"/>
        <v>0</v>
      </c>
      <c r="K148" s="479"/>
      <c r="L148" s="488"/>
      <c r="M148" s="479">
        <f t="shared" si="38"/>
        <v>0</v>
      </c>
      <c r="N148" s="488"/>
      <c r="O148" s="479">
        <f t="shared" si="39"/>
        <v>0</v>
      </c>
      <c r="P148" s="479">
        <f t="shared" si="40"/>
        <v>0</v>
      </c>
    </row>
    <row r="149" spans="2:16" ht="12.5">
      <c r="B149" s="160" t="str">
        <f t="shared" si="45"/>
        <v/>
      </c>
      <c r="C149" s="473">
        <f>IF(D93="","-",+C148+1)</f>
        <v>2060</v>
      </c>
      <c r="D149" s="347">
        <f>IF(F148+SUM(E$101:E148)=D$92,F148,D$92-SUM(E$101:E148))</f>
        <v>0</v>
      </c>
      <c r="E149" s="487">
        <f t="shared" si="37"/>
        <v>0</v>
      </c>
      <c r="F149" s="486">
        <f t="shared" si="46"/>
        <v>0</v>
      </c>
      <c r="G149" s="486">
        <f t="shared" si="41"/>
        <v>0</v>
      </c>
      <c r="H149" s="489">
        <f t="shared" si="42"/>
        <v>0</v>
      </c>
      <c r="I149" s="543">
        <f t="shared" si="43"/>
        <v>0</v>
      </c>
      <c r="J149" s="479">
        <f t="shared" si="44"/>
        <v>0</v>
      </c>
      <c r="K149" s="479"/>
      <c r="L149" s="488"/>
      <c r="M149" s="479">
        <f t="shared" si="38"/>
        <v>0</v>
      </c>
      <c r="N149" s="488"/>
      <c r="O149" s="479">
        <f t="shared" si="39"/>
        <v>0</v>
      </c>
      <c r="P149" s="479">
        <f t="shared" si="40"/>
        <v>0</v>
      </c>
    </row>
    <row r="150" spans="2:16" ht="12.5">
      <c r="B150" s="160" t="str">
        <f t="shared" si="45"/>
        <v/>
      </c>
      <c r="C150" s="473">
        <f>IF(D93="","-",+C149+1)</f>
        <v>2061</v>
      </c>
      <c r="D150" s="347">
        <f>IF(F149+SUM(E$101:E149)=D$92,F149,D$92-SUM(E$101:E149))</f>
        <v>0</v>
      </c>
      <c r="E150" s="487">
        <f t="shared" si="37"/>
        <v>0</v>
      </c>
      <c r="F150" s="486">
        <f t="shared" si="46"/>
        <v>0</v>
      </c>
      <c r="G150" s="486">
        <f t="shared" si="41"/>
        <v>0</v>
      </c>
      <c r="H150" s="489">
        <f t="shared" si="42"/>
        <v>0</v>
      </c>
      <c r="I150" s="543">
        <f t="shared" si="43"/>
        <v>0</v>
      </c>
      <c r="J150" s="479">
        <f t="shared" si="44"/>
        <v>0</v>
      </c>
      <c r="K150" s="479"/>
      <c r="L150" s="488"/>
      <c r="M150" s="479">
        <f t="shared" si="38"/>
        <v>0</v>
      </c>
      <c r="N150" s="488"/>
      <c r="O150" s="479">
        <f t="shared" si="39"/>
        <v>0</v>
      </c>
      <c r="P150" s="479">
        <f t="shared" si="40"/>
        <v>0</v>
      </c>
    </row>
    <row r="151" spans="2:16" ht="12.5">
      <c r="B151" s="160" t="str">
        <f t="shared" si="45"/>
        <v/>
      </c>
      <c r="C151" s="473">
        <f>IF(D93="","-",+C150+1)</f>
        <v>2062</v>
      </c>
      <c r="D151" s="347">
        <f>IF(F150+SUM(E$101:E150)=D$92,F150,D$92-SUM(E$101:E150))</f>
        <v>0</v>
      </c>
      <c r="E151" s="487">
        <f t="shared" si="37"/>
        <v>0</v>
      </c>
      <c r="F151" s="486">
        <f t="shared" si="46"/>
        <v>0</v>
      </c>
      <c r="G151" s="486">
        <f t="shared" si="41"/>
        <v>0</v>
      </c>
      <c r="H151" s="489">
        <f t="shared" si="42"/>
        <v>0</v>
      </c>
      <c r="I151" s="543">
        <f t="shared" si="43"/>
        <v>0</v>
      </c>
      <c r="J151" s="479">
        <f t="shared" si="44"/>
        <v>0</v>
      </c>
      <c r="K151" s="479"/>
      <c r="L151" s="488"/>
      <c r="M151" s="479">
        <f t="shared" si="38"/>
        <v>0</v>
      </c>
      <c r="N151" s="488"/>
      <c r="O151" s="479">
        <f t="shared" si="39"/>
        <v>0</v>
      </c>
      <c r="P151" s="479">
        <f t="shared" si="40"/>
        <v>0</v>
      </c>
    </row>
    <row r="152" spans="2:16" ht="12.5">
      <c r="B152" s="160" t="str">
        <f t="shared" si="45"/>
        <v/>
      </c>
      <c r="C152" s="473">
        <f>IF(D93="","-",+C151+1)</f>
        <v>2063</v>
      </c>
      <c r="D152" s="347">
        <f>IF(F151+SUM(E$101:E151)=D$92,F151,D$92-SUM(E$101:E151))</f>
        <v>0</v>
      </c>
      <c r="E152" s="487">
        <f t="shared" si="37"/>
        <v>0</v>
      </c>
      <c r="F152" s="486">
        <f t="shared" si="46"/>
        <v>0</v>
      </c>
      <c r="G152" s="486">
        <f t="shared" si="41"/>
        <v>0</v>
      </c>
      <c r="H152" s="489">
        <f t="shared" si="42"/>
        <v>0</v>
      </c>
      <c r="I152" s="543">
        <f t="shared" si="43"/>
        <v>0</v>
      </c>
      <c r="J152" s="479">
        <f t="shared" si="44"/>
        <v>0</v>
      </c>
      <c r="K152" s="479"/>
      <c r="L152" s="488"/>
      <c r="M152" s="479">
        <f t="shared" si="38"/>
        <v>0</v>
      </c>
      <c r="N152" s="488"/>
      <c r="O152" s="479">
        <f t="shared" si="39"/>
        <v>0</v>
      </c>
      <c r="P152" s="479">
        <f t="shared" si="40"/>
        <v>0</v>
      </c>
    </row>
    <row r="153" spans="2:16" ht="12.5">
      <c r="B153" s="160" t="str">
        <f t="shared" si="45"/>
        <v/>
      </c>
      <c r="C153" s="473">
        <f>IF(D93="","-",+C152+1)</f>
        <v>2064</v>
      </c>
      <c r="D153" s="347">
        <f>IF(F152+SUM(E$101:E152)=D$92,F152,D$92-SUM(E$101:E152))</f>
        <v>0</v>
      </c>
      <c r="E153" s="487">
        <f t="shared" si="37"/>
        <v>0</v>
      </c>
      <c r="F153" s="486">
        <f t="shared" si="46"/>
        <v>0</v>
      </c>
      <c r="G153" s="486">
        <f t="shared" si="41"/>
        <v>0</v>
      </c>
      <c r="H153" s="489">
        <f t="shared" si="42"/>
        <v>0</v>
      </c>
      <c r="I153" s="543">
        <f t="shared" si="43"/>
        <v>0</v>
      </c>
      <c r="J153" s="479">
        <f t="shared" si="44"/>
        <v>0</v>
      </c>
      <c r="K153" s="479"/>
      <c r="L153" s="488"/>
      <c r="M153" s="479">
        <f t="shared" si="38"/>
        <v>0</v>
      </c>
      <c r="N153" s="488"/>
      <c r="O153" s="479">
        <f t="shared" si="39"/>
        <v>0</v>
      </c>
      <c r="P153" s="479">
        <f t="shared" si="40"/>
        <v>0</v>
      </c>
    </row>
    <row r="154" spans="2:16" ht="13" thickBot="1">
      <c r="B154" s="160" t="str">
        <f t="shared" si="45"/>
        <v/>
      </c>
      <c r="C154" s="490">
        <f>IF(D93="","-",+C153+1)</f>
        <v>2065</v>
      </c>
      <c r="D154" s="544">
        <f>IF(F153+SUM(E$101:E153)=D$92,F153,D$92-SUM(E$101:E153))</f>
        <v>0</v>
      </c>
      <c r="E154" s="545">
        <f t="shared" si="37"/>
        <v>0</v>
      </c>
      <c r="F154" s="491">
        <f t="shared" si="46"/>
        <v>0</v>
      </c>
      <c r="G154" s="491">
        <f t="shared" si="41"/>
        <v>0</v>
      </c>
      <c r="H154" s="493">
        <f t="shared" si="42"/>
        <v>0</v>
      </c>
      <c r="I154" s="546">
        <f t="shared" si="43"/>
        <v>0</v>
      </c>
      <c r="J154" s="496">
        <f t="shared" si="44"/>
        <v>0</v>
      </c>
      <c r="K154" s="479"/>
      <c r="L154" s="495"/>
      <c r="M154" s="496">
        <f t="shared" si="38"/>
        <v>0</v>
      </c>
      <c r="N154" s="495"/>
      <c r="O154" s="496">
        <f t="shared" si="39"/>
        <v>0</v>
      </c>
      <c r="P154" s="496">
        <f t="shared" si="40"/>
        <v>0</v>
      </c>
    </row>
    <row r="155" spans="2:16" ht="12.5">
      <c r="C155" s="347" t="s">
        <v>77</v>
      </c>
      <c r="D155" s="348"/>
      <c r="E155" s="348">
        <f>SUM(E101:E154)</f>
        <v>22097</v>
      </c>
      <c r="F155" s="348"/>
      <c r="G155" s="348"/>
      <c r="H155" s="348">
        <f>SUM(H101:H154)</f>
        <v>76381.451698405421</v>
      </c>
      <c r="I155" s="348">
        <f>SUM(I101:I154)</f>
        <v>76381.451698405421</v>
      </c>
      <c r="J155" s="348">
        <f>SUM(J101:J154)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35" priority="3" stopIfTrue="1" operator="equal">
      <formula>$I$10</formula>
    </cfRule>
  </conditionalFormatting>
  <conditionalFormatting sqref="C102:C152">
    <cfRule type="cellIs" dxfId="34" priority="4" stopIfTrue="1" operator="equal">
      <formula>$J$92</formula>
    </cfRule>
  </conditionalFormatting>
  <conditionalFormatting sqref="C153:C154">
    <cfRule type="cellIs" dxfId="33" priority="2" stopIfTrue="1" operator="equal">
      <formula>$J$92</formula>
    </cfRule>
  </conditionalFormatting>
  <conditionalFormatting sqref="C100:C101">
    <cfRule type="cellIs" dxfId="32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tabSelected="1" view="pageBreakPreview" topLeftCell="B1" zoomScale="75" zoomScaleNormal="100" zoomScaleSheetLayoutView="7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14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117695.9465116283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117695.9465116283</v>
      </c>
      <c r="O6" s="233"/>
      <c r="P6" s="233"/>
    </row>
    <row r="7" spans="1:16" ht="13.5" thickBot="1">
      <c r="C7" s="432" t="s">
        <v>46</v>
      </c>
      <c r="D7" s="600" t="s">
        <v>242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241</v>
      </c>
      <c r="E9" s="578" t="s">
        <v>293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1035552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2013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23012.266666666666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1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2013</v>
      </c>
      <c r="D17" s="582">
        <v>5562500</v>
      </c>
      <c r="E17" s="602">
        <v>89142.628205128203</v>
      </c>
      <c r="F17" s="582">
        <v>5473357.371794872</v>
      </c>
      <c r="G17" s="602">
        <v>870775.06277038739</v>
      </c>
      <c r="H17" s="603">
        <v>870775.06277038739</v>
      </c>
      <c r="I17" s="476">
        <v>0</v>
      </c>
      <c r="J17" s="349"/>
      <c r="K17" s="555">
        <f t="shared" ref="K17:K22" si="0">G17</f>
        <v>870775.06277038739</v>
      </c>
      <c r="L17" s="604">
        <f t="shared" ref="L17:L22" si="1">IF(K17&lt;&gt;0,+G17-K17,0)</f>
        <v>0</v>
      </c>
      <c r="M17" s="555">
        <f t="shared" ref="M17:M22" si="2">H17</f>
        <v>870775.06277038739</v>
      </c>
      <c r="N17" s="478">
        <f t="shared" ref="N17:N22" si="3">IF(M17&lt;&gt;0,+H17-M17,0)</f>
        <v>0</v>
      </c>
      <c r="O17" s="476">
        <f t="shared" ref="O17:O22" si="4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2014</v>
      </c>
      <c r="D18" s="587">
        <v>5473357</v>
      </c>
      <c r="E18" s="586">
        <v>19910</v>
      </c>
      <c r="F18" s="587">
        <v>5453447</v>
      </c>
      <c r="G18" s="586">
        <v>770625</v>
      </c>
      <c r="H18" s="588">
        <v>770625</v>
      </c>
      <c r="I18" s="476">
        <f>H18-G18</f>
        <v>0</v>
      </c>
      <c r="J18" s="349"/>
      <c r="K18" s="477">
        <f t="shared" si="0"/>
        <v>770625</v>
      </c>
      <c r="L18" s="604">
        <f t="shared" si="1"/>
        <v>0</v>
      </c>
      <c r="M18" s="477">
        <f t="shared" si="2"/>
        <v>770625</v>
      </c>
      <c r="N18" s="479">
        <f t="shared" si="3"/>
        <v>0</v>
      </c>
      <c r="O18" s="476">
        <f t="shared" si="4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2015</v>
      </c>
      <c r="D19" s="587">
        <v>5453447</v>
      </c>
      <c r="E19" s="586">
        <f t="shared" ref="E19:E72" si="5">IF(+$I$14&lt;F18,$I$14,D19)</f>
        <v>23012.266666666666</v>
      </c>
      <c r="F19" s="587">
        <v>5433533</v>
      </c>
      <c r="G19" s="586">
        <v>769045</v>
      </c>
      <c r="H19" s="588">
        <v>769045</v>
      </c>
      <c r="I19" s="476">
        <f t="shared" ref="I19:I72" si="6">H19-G19</f>
        <v>0</v>
      </c>
      <c r="J19" s="349"/>
      <c r="K19" s="477">
        <f t="shared" si="0"/>
        <v>769045</v>
      </c>
      <c r="L19" s="604">
        <f t="shared" si="1"/>
        <v>0</v>
      </c>
      <c r="M19" s="477">
        <f t="shared" si="2"/>
        <v>769045</v>
      </c>
      <c r="N19" s="479">
        <f t="shared" si="3"/>
        <v>0</v>
      </c>
      <c r="O19" s="476">
        <f t="shared" si="4"/>
        <v>0</v>
      </c>
      <c r="P19" s="243"/>
    </row>
    <row r="20" spans="2:16" ht="12.5">
      <c r="B20" s="160" t="str">
        <f t="shared" ref="B20:B72" si="7">IF(D20=F19,"","IU")</f>
        <v>IU</v>
      </c>
      <c r="C20" s="473">
        <f>IF(D11="","-",+C19+1)</f>
        <v>2016</v>
      </c>
      <c r="D20" s="587">
        <v>906584.91025641025</v>
      </c>
      <c r="E20" s="586">
        <v>19914.461538461539</v>
      </c>
      <c r="F20" s="587">
        <v>886670.44871794875</v>
      </c>
      <c r="G20" s="586">
        <v>136209.46153846153</v>
      </c>
      <c r="H20" s="588">
        <v>136209.46153846153</v>
      </c>
      <c r="I20" s="476">
        <f t="shared" si="6"/>
        <v>0</v>
      </c>
      <c r="J20" s="349"/>
      <c r="K20" s="477">
        <f t="shared" si="0"/>
        <v>136209.46153846153</v>
      </c>
      <c r="L20" s="604">
        <f t="shared" si="1"/>
        <v>0</v>
      </c>
      <c r="M20" s="477">
        <f t="shared" si="2"/>
        <v>136209.46153846153</v>
      </c>
      <c r="N20" s="479">
        <f t="shared" si="3"/>
        <v>0</v>
      </c>
      <c r="O20" s="476">
        <f t="shared" si="4"/>
        <v>0</v>
      </c>
      <c r="P20" s="243"/>
    </row>
    <row r="21" spans="2:16" ht="12.5">
      <c r="B21" s="160" t="str">
        <f t="shared" si="7"/>
        <v>IU</v>
      </c>
      <c r="C21" s="473">
        <f>IF(D11="","-",+C20+1)</f>
        <v>2017</v>
      </c>
      <c r="D21" s="587">
        <v>884072.91025641025</v>
      </c>
      <c r="E21" s="586">
        <v>22512</v>
      </c>
      <c r="F21" s="587">
        <v>861560.91025641025</v>
      </c>
      <c r="G21" s="586">
        <v>132155</v>
      </c>
      <c r="H21" s="588">
        <v>132155</v>
      </c>
      <c r="I21" s="476">
        <f t="shared" si="6"/>
        <v>0</v>
      </c>
      <c r="J21" s="349"/>
      <c r="K21" s="477">
        <f t="shared" si="0"/>
        <v>132155</v>
      </c>
      <c r="L21" s="604">
        <f t="shared" si="1"/>
        <v>0</v>
      </c>
      <c r="M21" s="477">
        <f t="shared" si="2"/>
        <v>132155</v>
      </c>
      <c r="N21" s="479">
        <f t="shared" si="3"/>
        <v>0</v>
      </c>
      <c r="O21" s="476">
        <f t="shared" si="4"/>
        <v>0</v>
      </c>
      <c r="P21" s="243"/>
    </row>
    <row r="22" spans="2:16" ht="12.5">
      <c r="B22" s="160" t="str">
        <f t="shared" si="7"/>
        <v>IU</v>
      </c>
      <c r="C22" s="473">
        <f>IF(D11="","-",+C21+1)</f>
        <v>2018</v>
      </c>
      <c r="D22" s="587">
        <v>861060.64358974365</v>
      </c>
      <c r="E22" s="586">
        <v>23012.266666666666</v>
      </c>
      <c r="F22" s="587">
        <v>838048.37692307692</v>
      </c>
      <c r="G22" s="586">
        <v>124754.01488848326</v>
      </c>
      <c r="H22" s="588">
        <v>124754.01488848326</v>
      </c>
      <c r="I22" s="476">
        <f t="shared" si="6"/>
        <v>0</v>
      </c>
      <c r="J22" s="349"/>
      <c r="K22" s="477">
        <f t="shared" si="0"/>
        <v>124754.01488848326</v>
      </c>
      <c r="L22" s="604">
        <f t="shared" si="1"/>
        <v>0</v>
      </c>
      <c r="M22" s="477">
        <f t="shared" si="2"/>
        <v>124754.01488848326</v>
      </c>
      <c r="N22" s="479">
        <f t="shared" si="3"/>
        <v>0</v>
      </c>
      <c r="O22" s="476">
        <f t="shared" si="4"/>
        <v>0</v>
      </c>
      <c r="P22" s="243"/>
    </row>
    <row r="23" spans="2:16" ht="12.5">
      <c r="B23" s="160" t="str">
        <f t="shared" si="7"/>
        <v>IU</v>
      </c>
      <c r="C23" s="473">
        <f>IF(D11="","-",+C22+1)</f>
        <v>2019</v>
      </c>
      <c r="D23" s="587">
        <v>835171.8435897436</v>
      </c>
      <c r="E23" s="586">
        <v>25888.799999999999</v>
      </c>
      <c r="F23" s="587">
        <v>809283.04358974355</v>
      </c>
      <c r="G23" s="586">
        <v>117695.9465116283</v>
      </c>
      <c r="H23" s="588">
        <v>117695.9465116283</v>
      </c>
      <c r="I23" s="476">
        <f t="shared" si="6"/>
        <v>0</v>
      </c>
      <c r="J23" s="476"/>
      <c r="K23" s="477">
        <f t="shared" ref="K23" si="8">G23</f>
        <v>117695.9465116283</v>
      </c>
      <c r="L23" s="604">
        <f t="shared" ref="L23" si="9">IF(K23&lt;&gt;0,+G23-K23,0)</f>
        <v>0</v>
      </c>
      <c r="M23" s="477">
        <f t="shared" ref="M23" si="10">H23</f>
        <v>117695.9465116283</v>
      </c>
      <c r="N23" s="479">
        <f t="shared" ref="N23:N72" si="11">IF(M23&lt;&gt;0,+H23-M23,0)</f>
        <v>0</v>
      </c>
      <c r="O23" s="479">
        <f t="shared" ref="O23:O72" si="12">+N23-L23</f>
        <v>0</v>
      </c>
      <c r="P23" s="243"/>
    </row>
    <row r="24" spans="2:16" ht="12.5">
      <c r="B24" s="160" t="str">
        <f t="shared" si="7"/>
        <v>IU</v>
      </c>
      <c r="C24" s="473">
        <f>IF(D11="","-",+C23+1)</f>
        <v>2020</v>
      </c>
      <c r="D24" s="486">
        <f>IF(F23+SUM(E$17:E23)=D$10,F23,D$10-SUM(E$17:E23))</f>
        <v>812159.57692307699</v>
      </c>
      <c r="E24" s="485">
        <f t="shared" si="5"/>
        <v>23012.266666666666</v>
      </c>
      <c r="F24" s="486">
        <f t="shared" ref="F24:F72" si="13">+D24-E24</f>
        <v>789147.31025641027</v>
      </c>
      <c r="G24" s="487">
        <f t="shared" ref="G24:G72" si="14">ROUND(I$12*F24,0)+E24</f>
        <v>129812.26666666666</v>
      </c>
      <c r="H24" s="456">
        <f t="shared" ref="H24:H72" si="15">ROUND(I$13*F24,0)+E24</f>
        <v>129812.26666666666</v>
      </c>
      <c r="I24" s="476">
        <f t="shared" si="6"/>
        <v>0</v>
      </c>
      <c r="J24" s="476"/>
      <c r="K24" s="488"/>
      <c r="L24" s="479">
        <f t="shared" ref="L24:L72" si="16">IF(K24&lt;&gt;0,+G24-K24,0)</f>
        <v>0</v>
      </c>
      <c r="M24" s="488"/>
      <c r="N24" s="479">
        <f t="shared" si="11"/>
        <v>0</v>
      </c>
      <c r="O24" s="479">
        <f t="shared" si="12"/>
        <v>0</v>
      </c>
      <c r="P24" s="243"/>
    </row>
    <row r="25" spans="2:16" ht="12.5">
      <c r="B25" s="160" t="str">
        <f t="shared" si="7"/>
        <v/>
      </c>
      <c r="C25" s="473">
        <f>IF(D11="","-",+C24+1)</f>
        <v>2021</v>
      </c>
      <c r="D25" s="486">
        <f>IF(F24+SUM(E$17:E24)=D$10,F24,D$10-SUM(E$17:E24))</f>
        <v>789147.31025641027</v>
      </c>
      <c r="E25" s="485">
        <f t="shared" si="5"/>
        <v>23012.266666666666</v>
      </c>
      <c r="F25" s="486">
        <f t="shared" si="13"/>
        <v>766135.04358974355</v>
      </c>
      <c r="G25" s="487">
        <f t="shared" si="14"/>
        <v>126697.26666666666</v>
      </c>
      <c r="H25" s="456">
        <f t="shared" si="15"/>
        <v>126697.26666666666</v>
      </c>
      <c r="I25" s="476">
        <f t="shared" si="6"/>
        <v>0</v>
      </c>
      <c r="J25" s="476"/>
      <c r="K25" s="488"/>
      <c r="L25" s="479">
        <f t="shared" si="16"/>
        <v>0</v>
      </c>
      <c r="M25" s="488"/>
      <c r="N25" s="479">
        <f t="shared" si="11"/>
        <v>0</v>
      </c>
      <c r="O25" s="479">
        <f t="shared" si="12"/>
        <v>0</v>
      </c>
      <c r="P25" s="243"/>
    </row>
    <row r="26" spans="2:16" ht="12.5">
      <c r="B26" s="160" t="str">
        <f t="shared" si="7"/>
        <v/>
      </c>
      <c r="C26" s="473">
        <f>IF(D11="","-",+C25+1)</f>
        <v>2022</v>
      </c>
      <c r="D26" s="486">
        <f>IF(F25+SUM(E$17:E25)=D$10,F25,D$10-SUM(E$17:E25))</f>
        <v>766135.04358974355</v>
      </c>
      <c r="E26" s="485">
        <f t="shared" si="5"/>
        <v>23012.266666666666</v>
      </c>
      <c r="F26" s="486">
        <f t="shared" si="13"/>
        <v>743122.77692307683</v>
      </c>
      <c r="G26" s="487">
        <f t="shared" si="14"/>
        <v>123583.26666666666</v>
      </c>
      <c r="H26" s="456">
        <f t="shared" si="15"/>
        <v>123583.26666666666</v>
      </c>
      <c r="I26" s="476">
        <f t="shared" si="6"/>
        <v>0</v>
      </c>
      <c r="J26" s="476"/>
      <c r="K26" s="488"/>
      <c r="L26" s="479">
        <f t="shared" si="16"/>
        <v>0</v>
      </c>
      <c r="M26" s="488"/>
      <c r="N26" s="479">
        <f t="shared" si="11"/>
        <v>0</v>
      </c>
      <c r="O26" s="479">
        <f t="shared" si="12"/>
        <v>0</v>
      </c>
      <c r="P26" s="243"/>
    </row>
    <row r="27" spans="2:16" ht="12.5">
      <c r="B27" s="160" t="str">
        <f t="shared" si="7"/>
        <v/>
      </c>
      <c r="C27" s="473">
        <f>IF(D11="","-",+C26+1)</f>
        <v>2023</v>
      </c>
      <c r="D27" s="486">
        <f>IF(F26+SUM(E$17:E26)=D$10,F26,D$10-SUM(E$17:E26))</f>
        <v>743122.77692307683</v>
      </c>
      <c r="E27" s="485">
        <f t="shared" si="5"/>
        <v>23012.266666666666</v>
      </c>
      <c r="F27" s="486">
        <f t="shared" si="13"/>
        <v>720110.51025641011</v>
      </c>
      <c r="G27" s="487">
        <f t="shared" si="14"/>
        <v>120468.26666666666</v>
      </c>
      <c r="H27" s="456">
        <f t="shared" si="15"/>
        <v>120468.26666666666</v>
      </c>
      <c r="I27" s="476">
        <f t="shared" si="6"/>
        <v>0</v>
      </c>
      <c r="J27" s="476"/>
      <c r="K27" s="488"/>
      <c r="L27" s="479">
        <f t="shared" si="16"/>
        <v>0</v>
      </c>
      <c r="M27" s="488"/>
      <c r="N27" s="479">
        <f t="shared" si="11"/>
        <v>0</v>
      </c>
      <c r="O27" s="479">
        <f t="shared" si="12"/>
        <v>0</v>
      </c>
      <c r="P27" s="243"/>
    </row>
    <row r="28" spans="2:16" ht="12.5">
      <c r="B28" s="160" t="str">
        <f t="shared" si="7"/>
        <v/>
      </c>
      <c r="C28" s="473">
        <f>IF(D11="","-",+C27+1)</f>
        <v>2024</v>
      </c>
      <c r="D28" s="486">
        <f>IF(F27+SUM(E$17:E27)=D$10,F27,D$10-SUM(E$17:E27))</f>
        <v>720110.51025641011</v>
      </c>
      <c r="E28" s="485">
        <f t="shared" si="5"/>
        <v>23012.266666666666</v>
      </c>
      <c r="F28" s="486">
        <f t="shared" si="13"/>
        <v>697098.24358974339</v>
      </c>
      <c r="G28" s="487">
        <f t="shared" si="14"/>
        <v>117354.26666666666</v>
      </c>
      <c r="H28" s="456">
        <f t="shared" si="15"/>
        <v>117354.26666666666</v>
      </c>
      <c r="I28" s="476">
        <f t="shared" si="6"/>
        <v>0</v>
      </c>
      <c r="J28" s="476"/>
      <c r="K28" s="488"/>
      <c r="L28" s="479">
        <f t="shared" si="16"/>
        <v>0</v>
      </c>
      <c r="M28" s="488"/>
      <c r="N28" s="479">
        <f t="shared" si="11"/>
        <v>0</v>
      </c>
      <c r="O28" s="479">
        <f t="shared" si="12"/>
        <v>0</v>
      </c>
      <c r="P28" s="243"/>
    </row>
    <row r="29" spans="2:16" ht="12.5">
      <c r="B29" s="160" t="str">
        <f t="shared" si="7"/>
        <v/>
      </c>
      <c r="C29" s="473">
        <f>IF(D11="","-",+C28+1)</f>
        <v>2025</v>
      </c>
      <c r="D29" s="486">
        <f>IF(F28+SUM(E$17:E28)=D$10,F28,D$10-SUM(E$17:E28))</f>
        <v>697098.24358974339</v>
      </c>
      <c r="E29" s="485">
        <f t="shared" si="5"/>
        <v>23012.266666666666</v>
      </c>
      <c r="F29" s="486">
        <f t="shared" si="13"/>
        <v>674085.97692307667</v>
      </c>
      <c r="G29" s="487">
        <f t="shared" si="14"/>
        <v>114240.26666666666</v>
      </c>
      <c r="H29" s="456">
        <f t="shared" si="15"/>
        <v>114240.26666666666</v>
      </c>
      <c r="I29" s="476">
        <f t="shared" si="6"/>
        <v>0</v>
      </c>
      <c r="J29" s="476"/>
      <c r="K29" s="488"/>
      <c r="L29" s="479">
        <f t="shared" si="16"/>
        <v>0</v>
      </c>
      <c r="M29" s="488"/>
      <c r="N29" s="479">
        <f t="shared" si="11"/>
        <v>0</v>
      </c>
      <c r="O29" s="479">
        <f t="shared" si="12"/>
        <v>0</v>
      </c>
      <c r="P29" s="243"/>
    </row>
    <row r="30" spans="2:16" ht="12.5">
      <c r="B30" s="160" t="str">
        <f t="shared" si="7"/>
        <v/>
      </c>
      <c r="C30" s="473">
        <f>IF(D11="","-",+C29+1)</f>
        <v>2026</v>
      </c>
      <c r="D30" s="486">
        <f>IF(F29+SUM(E$17:E29)=D$10,F29,D$10-SUM(E$17:E29))</f>
        <v>674085.97692307667</v>
      </c>
      <c r="E30" s="485">
        <f t="shared" si="5"/>
        <v>23012.266666666666</v>
      </c>
      <c r="F30" s="486">
        <f t="shared" si="13"/>
        <v>651073.71025640995</v>
      </c>
      <c r="G30" s="487">
        <f t="shared" si="14"/>
        <v>111125.26666666666</v>
      </c>
      <c r="H30" s="456">
        <f t="shared" si="15"/>
        <v>111125.26666666666</v>
      </c>
      <c r="I30" s="476">
        <f t="shared" si="6"/>
        <v>0</v>
      </c>
      <c r="J30" s="476"/>
      <c r="K30" s="488"/>
      <c r="L30" s="479">
        <f t="shared" si="16"/>
        <v>0</v>
      </c>
      <c r="M30" s="488"/>
      <c r="N30" s="479">
        <f t="shared" si="11"/>
        <v>0</v>
      </c>
      <c r="O30" s="479">
        <f t="shared" si="12"/>
        <v>0</v>
      </c>
      <c r="P30" s="243"/>
    </row>
    <row r="31" spans="2:16" ht="12.5">
      <c r="B31" s="160" t="str">
        <f t="shared" si="7"/>
        <v/>
      </c>
      <c r="C31" s="473">
        <f>IF(D11="","-",+C30+1)</f>
        <v>2027</v>
      </c>
      <c r="D31" s="486">
        <f>IF(F30+SUM(E$17:E30)=D$10,F30,D$10-SUM(E$17:E30))</f>
        <v>651073.71025640995</v>
      </c>
      <c r="E31" s="485">
        <f t="shared" si="5"/>
        <v>23012.266666666666</v>
      </c>
      <c r="F31" s="486">
        <f t="shared" si="13"/>
        <v>628061.44358974323</v>
      </c>
      <c r="G31" s="487">
        <f t="shared" si="14"/>
        <v>108011.26666666666</v>
      </c>
      <c r="H31" s="456">
        <f t="shared" si="15"/>
        <v>108011.26666666666</v>
      </c>
      <c r="I31" s="476">
        <f t="shared" si="6"/>
        <v>0</v>
      </c>
      <c r="J31" s="476"/>
      <c r="K31" s="488"/>
      <c r="L31" s="479">
        <f t="shared" si="16"/>
        <v>0</v>
      </c>
      <c r="M31" s="488"/>
      <c r="N31" s="479">
        <f t="shared" si="11"/>
        <v>0</v>
      </c>
      <c r="O31" s="479">
        <f t="shared" si="12"/>
        <v>0</v>
      </c>
      <c r="P31" s="243"/>
    </row>
    <row r="32" spans="2:16" ht="12.5">
      <c r="B32" s="160" t="str">
        <f t="shared" si="7"/>
        <v/>
      </c>
      <c r="C32" s="473">
        <f>IF(D11="","-",+C31+1)</f>
        <v>2028</v>
      </c>
      <c r="D32" s="486">
        <f>IF(F31+SUM(E$17:E31)=D$10,F31,D$10-SUM(E$17:E31))</f>
        <v>628061.44358974323</v>
      </c>
      <c r="E32" s="485">
        <f t="shared" si="5"/>
        <v>23012.266666666666</v>
      </c>
      <c r="F32" s="486">
        <f t="shared" si="13"/>
        <v>605049.17692307651</v>
      </c>
      <c r="G32" s="487">
        <f t="shared" si="14"/>
        <v>104897.26666666666</v>
      </c>
      <c r="H32" s="456">
        <f t="shared" si="15"/>
        <v>104897.26666666666</v>
      </c>
      <c r="I32" s="476">
        <f t="shared" si="6"/>
        <v>0</v>
      </c>
      <c r="J32" s="476"/>
      <c r="K32" s="488"/>
      <c r="L32" s="479">
        <f t="shared" si="16"/>
        <v>0</v>
      </c>
      <c r="M32" s="488"/>
      <c r="N32" s="479">
        <f t="shared" si="11"/>
        <v>0</v>
      </c>
      <c r="O32" s="479">
        <f t="shared" si="12"/>
        <v>0</v>
      </c>
      <c r="P32" s="243"/>
    </row>
    <row r="33" spans="2:16" ht="12.5">
      <c r="B33" s="160" t="str">
        <f t="shared" si="7"/>
        <v/>
      </c>
      <c r="C33" s="473">
        <f>IF(D11="","-",+C32+1)</f>
        <v>2029</v>
      </c>
      <c r="D33" s="486">
        <f>IF(F32+SUM(E$17:E32)=D$10,F32,D$10-SUM(E$17:E32))</f>
        <v>605049.17692307651</v>
      </c>
      <c r="E33" s="485">
        <f t="shared" si="5"/>
        <v>23012.266666666666</v>
      </c>
      <c r="F33" s="486">
        <f t="shared" si="13"/>
        <v>582036.91025640978</v>
      </c>
      <c r="G33" s="487">
        <f t="shared" si="14"/>
        <v>101782.26666666666</v>
      </c>
      <c r="H33" s="456">
        <f t="shared" si="15"/>
        <v>101782.26666666666</v>
      </c>
      <c r="I33" s="476">
        <f t="shared" si="6"/>
        <v>0</v>
      </c>
      <c r="J33" s="476"/>
      <c r="K33" s="488"/>
      <c r="L33" s="479">
        <f t="shared" si="16"/>
        <v>0</v>
      </c>
      <c r="M33" s="488"/>
      <c r="N33" s="479">
        <f t="shared" si="11"/>
        <v>0</v>
      </c>
      <c r="O33" s="479">
        <f t="shared" si="12"/>
        <v>0</v>
      </c>
      <c r="P33" s="243"/>
    </row>
    <row r="34" spans="2:16" ht="12.5">
      <c r="B34" s="160" t="str">
        <f t="shared" si="7"/>
        <v/>
      </c>
      <c r="C34" s="473">
        <f>IF(D11="","-",+C33+1)</f>
        <v>2030</v>
      </c>
      <c r="D34" s="486">
        <f>IF(F33+SUM(E$17:E33)=D$10,F33,D$10-SUM(E$17:E33))</f>
        <v>582036.91025640978</v>
      </c>
      <c r="E34" s="485">
        <f t="shared" si="5"/>
        <v>23012.266666666666</v>
      </c>
      <c r="F34" s="486">
        <f t="shared" si="13"/>
        <v>559024.64358974306</v>
      </c>
      <c r="G34" s="487">
        <f t="shared" si="14"/>
        <v>98668.266666666663</v>
      </c>
      <c r="H34" s="456">
        <f t="shared" si="15"/>
        <v>98668.266666666663</v>
      </c>
      <c r="I34" s="476">
        <f t="shared" si="6"/>
        <v>0</v>
      </c>
      <c r="J34" s="476"/>
      <c r="K34" s="488"/>
      <c r="L34" s="479">
        <f t="shared" si="16"/>
        <v>0</v>
      </c>
      <c r="M34" s="488"/>
      <c r="N34" s="479">
        <f t="shared" si="11"/>
        <v>0</v>
      </c>
      <c r="O34" s="479">
        <f t="shared" si="12"/>
        <v>0</v>
      </c>
      <c r="P34" s="243"/>
    </row>
    <row r="35" spans="2:16" ht="12.5">
      <c r="B35" s="160" t="str">
        <f t="shared" si="7"/>
        <v/>
      </c>
      <c r="C35" s="473">
        <f>IF(D11="","-",+C34+1)</f>
        <v>2031</v>
      </c>
      <c r="D35" s="486">
        <f>IF(F34+SUM(E$17:E34)=D$10,F34,D$10-SUM(E$17:E34))</f>
        <v>559024.64358974306</v>
      </c>
      <c r="E35" s="485">
        <f t="shared" si="5"/>
        <v>23012.266666666666</v>
      </c>
      <c r="F35" s="486">
        <f t="shared" si="13"/>
        <v>536012.37692307634</v>
      </c>
      <c r="G35" s="487">
        <f t="shared" si="14"/>
        <v>95553.266666666663</v>
      </c>
      <c r="H35" s="456">
        <f t="shared" si="15"/>
        <v>95553.266666666663</v>
      </c>
      <c r="I35" s="476">
        <f t="shared" si="6"/>
        <v>0</v>
      </c>
      <c r="J35" s="476"/>
      <c r="K35" s="488"/>
      <c r="L35" s="479">
        <f t="shared" si="16"/>
        <v>0</v>
      </c>
      <c r="M35" s="488"/>
      <c r="N35" s="479">
        <f t="shared" si="11"/>
        <v>0</v>
      </c>
      <c r="O35" s="479">
        <f t="shared" si="12"/>
        <v>0</v>
      </c>
      <c r="P35" s="243"/>
    </row>
    <row r="36" spans="2:16" ht="12.5">
      <c r="B36" s="160" t="str">
        <f t="shared" si="7"/>
        <v/>
      </c>
      <c r="C36" s="473">
        <f>IF(D11="","-",+C35+1)</f>
        <v>2032</v>
      </c>
      <c r="D36" s="486">
        <f>IF(F35+SUM(E$17:E35)=D$10,F35,D$10-SUM(E$17:E35))</f>
        <v>536012.37692307634</v>
      </c>
      <c r="E36" s="485">
        <f t="shared" si="5"/>
        <v>23012.266666666666</v>
      </c>
      <c r="F36" s="486">
        <f t="shared" si="13"/>
        <v>513000.11025640968</v>
      </c>
      <c r="G36" s="487">
        <f t="shared" si="14"/>
        <v>92439.266666666663</v>
      </c>
      <c r="H36" s="456">
        <f t="shared" si="15"/>
        <v>92439.266666666663</v>
      </c>
      <c r="I36" s="476">
        <f t="shared" si="6"/>
        <v>0</v>
      </c>
      <c r="J36" s="476"/>
      <c r="K36" s="488"/>
      <c r="L36" s="479">
        <f t="shared" si="16"/>
        <v>0</v>
      </c>
      <c r="M36" s="488"/>
      <c r="N36" s="479">
        <f t="shared" si="11"/>
        <v>0</v>
      </c>
      <c r="O36" s="479">
        <f t="shared" si="12"/>
        <v>0</v>
      </c>
      <c r="P36" s="243"/>
    </row>
    <row r="37" spans="2:16" ht="12.5">
      <c r="B37" s="160" t="str">
        <f t="shared" si="7"/>
        <v/>
      </c>
      <c r="C37" s="473">
        <f>IF(D11="","-",+C36+1)</f>
        <v>2033</v>
      </c>
      <c r="D37" s="486">
        <f>IF(F36+SUM(E$17:E36)=D$10,F36,D$10-SUM(E$17:E36))</f>
        <v>513000.11025640968</v>
      </c>
      <c r="E37" s="485">
        <f t="shared" si="5"/>
        <v>23012.266666666666</v>
      </c>
      <c r="F37" s="486">
        <f t="shared" si="13"/>
        <v>489987.84358974302</v>
      </c>
      <c r="G37" s="487">
        <f t="shared" si="14"/>
        <v>89325.266666666663</v>
      </c>
      <c r="H37" s="456">
        <f t="shared" si="15"/>
        <v>89325.266666666663</v>
      </c>
      <c r="I37" s="476">
        <f t="shared" si="6"/>
        <v>0</v>
      </c>
      <c r="J37" s="476"/>
      <c r="K37" s="488"/>
      <c r="L37" s="479">
        <f t="shared" si="16"/>
        <v>0</v>
      </c>
      <c r="M37" s="488"/>
      <c r="N37" s="479">
        <f t="shared" si="11"/>
        <v>0</v>
      </c>
      <c r="O37" s="479">
        <f t="shared" si="12"/>
        <v>0</v>
      </c>
      <c r="P37" s="243"/>
    </row>
    <row r="38" spans="2:16" ht="12.5">
      <c r="B38" s="160" t="str">
        <f t="shared" si="7"/>
        <v/>
      </c>
      <c r="C38" s="473">
        <f>IF(D11="","-",+C37+1)</f>
        <v>2034</v>
      </c>
      <c r="D38" s="486">
        <f>IF(F37+SUM(E$17:E37)=D$10,F37,D$10-SUM(E$17:E37))</f>
        <v>489987.84358974302</v>
      </c>
      <c r="E38" s="485">
        <f t="shared" si="5"/>
        <v>23012.266666666666</v>
      </c>
      <c r="F38" s="486">
        <f t="shared" si="13"/>
        <v>466975.57692307635</v>
      </c>
      <c r="G38" s="487">
        <f t="shared" si="14"/>
        <v>86210.266666666663</v>
      </c>
      <c r="H38" s="456">
        <f t="shared" si="15"/>
        <v>86210.266666666663</v>
      </c>
      <c r="I38" s="476">
        <f t="shared" si="6"/>
        <v>0</v>
      </c>
      <c r="J38" s="476"/>
      <c r="K38" s="488"/>
      <c r="L38" s="479">
        <f t="shared" si="16"/>
        <v>0</v>
      </c>
      <c r="M38" s="488"/>
      <c r="N38" s="479">
        <f t="shared" si="11"/>
        <v>0</v>
      </c>
      <c r="O38" s="479">
        <f t="shared" si="12"/>
        <v>0</v>
      </c>
      <c r="P38" s="243"/>
    </row>
    <row r="39" spans="2:16" ht="12.5">
      <c r="B39" s="160" t="str">
        <f t="shared" si="7"/>
        <v/>
      </c>
      <c r="C39" s="473">
        <f>IF(D11="","-",+C38+1)</f>
        <v>2035</v>
      </c>
      <c r="D39" s="486">
        <f>IF(F38+SUM(E$17:E38)=D$10,F38,D$10-SUM(E$17:E38))</f>
        <v>466975.57692307635</v>
      </c>
      <c r="E39" s="485">
        <f t="shared" si="5"/>
        <v>23012.266666666666</v>
      </c>
      <c r="F39" s="486">
        <f t="shared" si="13"/>
        <v>443963.31025640969</v>
      </c>
      <c r="G39" s="487">
        <f t="shared" si="14"/>
        <v>83096.266666666663</v>
      </c>
      <c r="H39" s="456">
        <f t="shared" si="15"/>
        <v>83096.266666666663</v>
      </c>
      <c r="I39" s="476">
        <f t="shared" si="6"/>
        <v>0</v>
      </c>
      <c r="J39" s="476"/>
      <c r="K39" s="488"/>
      <c r="L39" s="479">
        <f t="shared" si="16"/>
        <v>0</v>
      </c>
      <c r="M39" s="488"/>
      <c r="N39" s="479">
        <f t="shared" si="11"/>
        <v>0</v>
      </c>
      <c r="O39" s="479">
        <f t="shared" si="12"/>
        <v>0</v>
      </c>
      <c r="P39" s="243"/>
    </row>
    <row r="40" spans="2:16" ht="12.5">
      <c r="B40" s="160" t="str">
        <f t="shared" si="7"/>
        <v/>
      </c>
      <c r="C40" s="473">
        <f>IF(D11="","-",+C39+1)</f>
        <v>2036</v>
      </c>
      <c r="D40" s="486">
        <f>IF(F39+SUM(E$17:E39)=D$10,F39,D$10-SUM(E$17:E39))</f>
        <v>443963.31025640969</v>
      </c>
      <c r="E40" s="485">
        <f t="shared" si="5"/>
        <v>23012.266666666666</v>
      </c>
      <c r="F40" s="486">
        <f t="shared" si="13"/>
        <v>420951.04358974303</v>
      </c>
      <c r="G40" s="487">
        <f t="shared" si="14"/>
        <v>79982.266666666663</v>
      </c>
      <c r="H40" s="456">
        <f t="shared" si="15"/>
        <v>79982.266666666663</v>
      </c>
      <c r="I40" s="476">
        <f t="shared" si="6"/>
        <v>0</v>
      </c>
      <c r="J40" s="476"/>
      <c r="K40" s="488"/>
      <c r="L40" s="479">
        <f t="shared" si="16"/>
        <v>0</v>
      </c>
      <c r="M40" s="488"/>
      <c r="N40" s="479">
        <f t="shared" si="11"/>
        <v>0</v>
      </c>
      <c r="O40" s="479">
        <f t="shared" si="12"/>
        <v>0</v>
      </c>
      <c r="P40" s="243"/>
    </row>
    <row r="41" spans="2:16" ht="12.5">
      <c r="B41" s="160" t="str">
        <f t="shared" si="7"/>
        <v/>
      </c>
      <c r="C41" s="473">
        <f>IF(D11="","-",+C40+1)</f>
        <v>2037</v>
      </c>
      <c r="D41" s="486">
        <f>IF(F40+SUM(E$17:E40)=D$10,F40,D$10-SUM(E$17:E40))</f>
        <v>420951.04358974303</v>
      </c>
      <c r="E41" s="485">
        <f t="shared" si="5"/>
        <v>23012.266666666666</v>
      </c>
      <c r="F41" s="486">
        <f t="shared" si="13"/>
        <v>397938.77692307637</v>
      </c>
      <c r="G41" s="487">
        <f t="shared" si="14"/>
        <v>76867.266666666663</v>
      </c>
      <c r="H41" s="456">
        <f t="shared" si="15"/>
        <v>76867.266666666663</v>
      </c>
      <c r="I41" s="476">
        <f t="shared" si="6"/>
        <v>0</v>
      </c>
      <c r="J41" s="476"/>
      <c r="K41" s="488"/>
      <c r="L41" s="479">
        <f t="shared" si="16"/>
        <v>0</v>
      </c>
      <c r="M41" s="488"/>
      <c r="N41" s="479">
        <f t="shared" si="11"/>
        <v>0</v>
      </c>
      <c r="O41" s="479">
        <f t="shared" si="12"/>
        <v>0</v>
      </c>
      <c r="P41" s="243"/>
    </row>
    <row r="42" spans="2:16" ht="12.5">
      <c r="B42" s="160" t="str">
        <f t="shared" si="7"/>
        <v/>
      </c>
      <c r="C42" s="473">
        <f>IF(D11="","-",+C41+1)</f>
        <v>2038</v>
      </c>
      <c r="D42" s="486">
        <f>IF(F41+SUM(E$17:E41)=D$10,F41,D$10-SUM(E$17:E41))</f>
        <v>397938.77692307637</v>
      </c>
      <c r="E42" s="485">
        <f t="shared" si="5"/>
        <v>23012.266666666666</v>
      </c>
      <c r="F42" s="486">
        <f t="shared" si="13"/>
        <v>374926.5102564097</v>
      </c>
      <c r="G42" s="487">
        <f t="shared" si="14"/>
        <v>73753.266666666663</v>
      </c>
      <c r="H42" s="456">
        <f t="shared" si="15"/>
        <v>73753.266666666663</v>
      </c>
      <c r="I42" s="476">
        <f t="shared" si="6"/>
        <v>0</v>
      </c>
      <c r="J42" s="476"/>
      <c r="K42" s="488"/>
      <c r="L42" s="479">
        <f t="shared" si="16"/>
        <v>0</v>
      </c>
      <c r="M42" s="488"/>
      <c r="N42" s="479">
        <f t="shared" si="11"/>
        <v>0</v>
      </c>
      <c r="O42" s="479">
        <f t="shared" si="12"/>
        <v>0</v>
      </c>
      <c r="P42" s="243"/>
    </row>
    <row r="43" spans="2:16" ht="12.5">
      <c r="B43" s="160" t="str">
        <f t="shared" si="7"/>
        <v/>
      </c>
      <c r="C43" s="473">
        <f>IF(D11="","-",+C42+1)</f>
        <v>2039</v>
      </c>
      <c r="D43" s="486">
        <f>IF(F42+SUM(E$17:E42)=D$10,F42,D$10-SUM(E$17:E42))</f>
        <v>374926.5102564097</v>
      </c>
      <c r="E43" s="485">
        <f t="shared" si="5"/>
        <v>23012.266666666666</v>
      </c>
      <c r="F43" s="486">
        <f t="shared" si="13"/>
        <v>351914.24358974304</v>
      </c>
      <c r="G43" s="487">
        <f t="shared" si="14"/>
        <v>70638.266666666663</v>
      </c>
      <c r="H43" s="456">
        <f t="shared" si="15"/>
        <v>70638.266666666663</v>
      </c>
      <c r="I43" s="476">
        <f t="shared" si="6"/>
        <v>0</v>
      </c>
      <c r="J43" s="476"/>
      <c r="K43" s="488"/>
      <c r="L43" s="479">
        <f t="shared" si="16"/>
        <v>0</v>
      </c>
      <c r="M43" s="488"/>
      <c r="N43" s="479">
        <f t="shared" si="11"/>
        <v>0</v>
      </c>
      <c r="O43" s="479">
        <f t="shared" si="12"/>
        <v>0</v>
      </c>
      <c r="P43" s="243"/>
    </row>
    <row r="44" spans="2:16" ht="12.5">
      <c r="B44" s="160" t="str">
        <f t="shared" si="7"/>
        <v/>
      </c>
      <c r="C44" s="473">
        <f>IF(D11="","-",+C43+1)</f>
        <v>2040</v>
      </c>
      <c r="D44" s="486">
        <f>IF(F43+SUM(E$17:E43)=D$10,F43,D$10-SUM(E$17:E43))</f>
        <v>351914.24358974304</v>
      </c>
      <c r="E44" s="485">
        <f t="shared" si="5"/>
        <v>23012.266666666666</v>
      </c>
      <c r="F44" s="486">
        <f t="shared" si="13"/>
        <v>328901.97692307638</v>
      </c>
      <c r="G44" s="487">
        <f t="shared" si="14"/>
        <v>67524.266666666663</v>
      </c>
      <c r="H44" s="456">
        <f t="shared" si="15"/>
        <v>67524.266666666663</v>
      </c>
      <c r="I44" s="476">
        <f t="shared" si="6"/>
        <v>0</v>
      </c>
      <c r="J44" s="476"/>
      <c r="K44" s="488"/>
      <c r="L44" s="479">
        <f t="shared" si="16"/>
        <v>0</v>
      </c>
      <c r="M44" s="488"/>
      <c r="N44" s="479">
        <f t="shared" si="11"/>
        <v>0</v>
      </c>
      <c r="O44" s="479">
        <f t="shared" si="12"/>
        <v>0</v>
      </c>
      <c r="P44" s="243"/>
    </row>
    <row r="45" spans="2:16" ht="12.5">
      <c r="B45" s="160" t="str">
        <f t="shared" si="7"/>
        <v/>
      </c>
      <c r="C45" s="473">
        <f>IF(D11="","-",+C44+1)</f>
        <v>2041</v>
      </c>
      <c r="D45" s="486">
        <f>IF(F44+SUM(E$17:E44)=D$10,F44,D$10-SUM(E$17:E44))</f>
        <v>328901.97692307638</v>
      </c>
      <c r="E45" s="485">
        <f t="shared" si="5"/>
        <v>23012.266666666666</v>
      </c>
      <c r="F45" s="486">
        <f t="shared" si="13"/>
        <v>305889.71025640971</v>
      </c>
      <c r="G45" s="487">
        <f t="shared" si="14"/>
        <v>64410.266666666663</v>
      </c>
      <c r="H45" s="456">
        <f t="shared" si="15"/>
        <v>64410.266666666663</v>
      </c>
      <c r="I45" s="476">
        <f t="shared" si="6"/>
        <v>0</v>
      </c>
      <c r="J45" s="476"/>
      <c r="K45" s="488"/>
      <c r="L45" s="479">
        <f t="shared" si="16"/>
        <v>0</v>
      </c>
      <c r="M45" s="488"/>
      <c r="N45" s="479">
        <f t="shared" si="11"/>
        <v>0</v>
      </c>
      <c r="O45" s="479">
        <f t="shared" si="12"/>
        <v>0</v>
      </c>
      <c r="P45" s="243"/>
    </row>
    <row r="46" spans="2:16" ht="12.5">
      <c r="B46" s="160" t="str">
        <f t="shared" si="7"/>
        <v/>
      </c>
      <c r="C46" s="473">
        <f>IF(D11="","-",+C45+1)</f>
        <v>2042</v>
      </c>
      <c r="D46" s="486">
        <f>IF(F45+SUM(E$17:E45)=D$10,F45,D$10-SUM(E$17:E45))</f>
        <v>305889.71025640971</v>
      </c>
      <c r="E46" s="485">
        <f t="shared" si="5"/>
        <v>23012.266666666666</v>
      </c>
      <c r="F46" s="486">
        <f t="shared" si="13"/>
        <v>282877.44358974305</v>
      </c>
      <c r="G46" s="487">
        <f t="shared" si="14"/>
        <v>61295.266666666663</v>
      </c>
      <c r="H46" s="456">
        <f t="shared" si="15"/>
        <v>61295.266666666663</v>
      </c>
      <c r="I46" s="476">
        <f t="shared" si="6"/>
        <v>0</v>
      </c>
      <c r="J46" s="476"/>
      <c r="K46" s="488"/>
      <c r="L46" s="479">
        <f t="shared" si="16"/>
        <v>0</v>
      </c>
      <c r="M46" s="488"/>
      <c r="N46" s="479">
        <f t="shared" si="11"/>
        <v>0</v>
      </c>
      <c r="O46" s="479">
        <f t="shared" si="12"/>
        <v>0</v>
      </c>
      <c r="P46" s="243"/>
    </row>
    <row r="47" spans="2:16" ht="12.5">
      <c r="B47" s="160" t="str">
        <f t="shared" si="7"/>
        <v/>
      </c>
      <c r="C47" s="473">
        <f>IF(D11="","-",+C46+1)</f>
        <v>2043</v>
      </c>
      <c r="D47" s="486">
        <f>IF(F46+SUM(E$17:E46)=D$10,F46,D$10-SUM(E$17:E46))</f>
        <v>282877.44358974305</v>
      </c>
      <c r="E47" s="485">
        <f t="shared" si="5"/>
        <v>23012.266666666666</v>
      </c>
      <c r="F47" s="486">
        <f t="shared" si="13"/>
        <v>259865.17692307639</v>
      </c>
      <c r="G47" s="487">
        <f t="shared" si="14"/>
        <v>58181.266666666663</v>
      </c>
      <c r="H47" s="456">
        <f t="shared" si="15"/>
        <v>58181.266666666663</v>
      </c>
      <c r="I47" s="476">
        <f t="shared" si="6"/>
        <v>0</v>
      </c>
      <c r="J47" s="476"/>
      <c r="K47" s="488"/>
      <c r="L47" s="479">
        <f t="shared" si="16"/>
        <v>0</v>
      </c>
      <c r="M47" s="488"/>
      <c r="N47" s="479">
        <f t="shared" si="11"/>
        <v>0</v>
      </c>
      <c r="O47" s="479">
        <f t="shared" si="12"/>
        <v>0</v>
      </c>
      <c r="P47" s="243"/>
    </row>
    <row r="48" spans="2:16" ht="12.5">
      <c r="B48" s="160" t="str">
        <f t="shared" si="7"/>
        <v/>
      </c>
      <c r="C48" s="473">
        <f>IF(D11="","-",+C47+1)</f>
        <v>2044</v>
      </c>
      <c r="D48" s="486">
        <f>IF(F47+SUM(E$17:E47)=D$10,F47,D$10-SUM(E$17:E47))</f>
        <v>259865.17692307639</v>
      </c>
      <c r="E48" s="485">
        <f t="shared" si="5"/>
        <v>23012.266666666666</v>
      </c>
      <c r="F48" s="486">
        <f t="shared" si="13"/>
        <v>236852.91025640973</v>
      </c>
      <c r="G48" s="487">
        <f t="shared" si="14"/>
        <v>55067.266666666663</v>
      </c>
      <c r="H48" s="456">
        <f t="shared" si="15"/>
        <v>55067.266666666663</v>
      </c>
      <c r="I48" s="476">
        <f t="shared" si="6"/>
        <v>0</v>
      </c>
      <c r="J48" s="476"/>
      <c r="K48" s="488"/>
      <c r="L48" s="479">
        <f t="shared" si="16"/>
        <v>0</v>
      </c>
      <c r="M48" s="488"/>
      <c r="N48" s="479">
        <f t="shared" si="11"/>
        <v>0</v>
      </c>
      <c r="O48" s="479">
        <f t="shared" si="12"/>
        <v>0</v>
      </c>
      <c r="P48" s="243"/>
    </row>
    <row r="49" spans="2:16" ht="12.5">
      <c r="B49" s="160" t="str">
        <f t="shared" si="7"/>
        <v/>
      </c>
      <c r="C49" s="473">
        <f>IF(D11="","-",+C48+1)</f>
        <v>2045</v>
      </c>
      <c r="D49" s="486">
        <f>IF(F48+SUM(E$17:E48)=D$10,F48,D$10-SUM(E$17:E48))</f>
        <v>236852.91025640973</v>
      </c>
      <c r="E49" s="485">
        <f t="shared" si="5"/>
        <v>23012.266666666666</v>
      </c>
      <c r="F49" s="486">
        <f t="shared" si="13"/>
        <v>213840.64358974306</v>
      </c>
      <c r="G49" s="487">
        <f t="shared" si="14"/>
        <v>51952.266666666663</v>
      </c>
      <c r="H49" s="456">
        <f t="shared" si="15"/>
        <v>51952.266666666663</v>
      </c>
      <c r="I49" s="476">
        <f t="shared" si="6"/>
        <v>0</v>
      </c>
      <c r="J49" s="476"/>
      <c r="K49" s="488"/>
      <c r="L49" s="479">
        <f t="shared" si="16"/>
        <v>0</v>
      </c>
      <c r="M49" s="488"/>
      <c r="N49" s="479">
        <f t="shared" si="11"/>
        <v>0</v>
      </c>
      <c r="O49" s="479">
        <f t="shared" si="12"/>
        <v>0</v>
      </c>
      <c r="P49" s="243"/>
    </row>
    <row r="50" spans="2:16" ht="12.5">
      <c r="B50" s="160" t="str">
        <f t="shared" si="7"/>
        <v/>
      </c>
      <c r="C50" s="473">
        <f>IF(D11="","-",+C49+1)</f>
        <v>2046</v>
      </c>
      <c r="D50" s="486">
        <f>IF(F49+SUM(E$17:E49)=D$10,F49,D$10-SUM(E$17:E49))</f>
        <v>213840.64358974306</v>
      </c>
      <c r="E50" s="485">
        <f t="shared" si="5"/>
        <v>23012.266666666666</v>
      </c>
      <c r="F50" s="486">
        <f t="shared" si="13"/>
        <v>190828.3769230764</v>
      </c>
      <c r="G50" s="487">
        <f t="shared" si="14"/>
        <v>48838.266666666663</v>
      </c>
      <c r="H50" s="456">
        <f t="shared" si="15"/>
        <v>48838.266666666663</v>
      </c>
      <c r="I50" s="476">
        <f t="shared" si="6"/>
        <v>0</v>
      </c>
      <c r="J50" s="476"/>
      <c r="K50" s="488"/>
      <c r="L50" s="479">
        <f t="shared" si="16"/>
        <v>0</v>
      </c>
      <c r="M50" s="488"/>
      <c r="N50" s="479">
        <f t="shared" si="11"/>
        <v>0</v>
      </c>
      <c r="O50" s="479">
        <f t="shared" si="12"/>
        <v>0</v>
      </c>
      <c r="P50" s="243"/>
    </row>
    <row r="51" spans="2:16" ht="12.5">
      <c r="B51" s="160" t="str">
        <f t="shared" si="7"/>
        <v/>
      </c>
      <c r="C51" s="473">
        <f>IF(D11="","-",+C50+1)</f>
        <v>2047</v>
      </c>
      <c r="D51" s="486">
        <f>IF(F50+SUM(E$17:E50)=D$10,F50,D$10-SUM(E$17:E50))</f>
        <v>190828.3769230764</v>
      </c>
      <c r="E51" s="485">
        <f t="shared" si="5"/>
        <v>23012.266666666666</v>
      </c>
      <c r="F51" s="486">
        <f t="shared" si="13"/>
        <v>167816.11025640974</v>
      </c>
      <c r="G51" s="487">
        <f t="shared" si="14"/>
        <v>45723.266666666663</v>
      </c>
      <c r="H51" s="456">
        <f t="shared" si="15"/>
        <v>45723.266666666663</v>
      </c>
      <c r="I51" s="476">
        <f t="shared" si="6"/>
        <v>0</v>
      </c>
      <c r="J51" s="476"/>
      <c r="K51" s="488"/>
      <c r="L51" s="479">
        <f t="shared" si="16"/>
        <v>0</v>
      </c>
      <c r="M51" s="488"/>
      <c r="N51" s="479">
        <f t="shared" si="11"/>
        <v>0</v>
      </c>
      <c r="O51" s="479">
        <f t="shared" si="12"/>
        <v>0</v>
      </c>
      <c r="P51" s="243"/>
    </row>
    <row r="52" spans="2:16" ht="12.5">
      <c r="B52" s="160" t="str">
        <f t="shared" si="7"/>
        <v/>
      </c>
      <c r="C52" s="473">
        <f>IF(D11="","-",+C51+1)</f>
        <v>2048</v>
      </c>
      <c r="D52" s="486">
        <f>IF(F51+SUM(E$17:E51)=D$10,F51,D$10-SUM(E$17:E51))</f>
        <v>167816.11025640974</v>
      </c>
      <c r="E52" s="485">
        <f t="shared" si="5"/>
        <v>23012.266666666666</v>
      </c>
      <c r="F52" s="486">
        <f t="shared" si="13"/>
        <v>144803.84358974308</v>
      </c>
      <c r="G52" s="487">
        <f t="shared" si="14"/>
        <v>42609.266666666663</v>
      </c>
      <c r="H52" s="456">
        <f t="shared" si="15"/>
        <v>42609.266666666663</v>
      </c>
      <c r="I52" s="476">
        <f t="shared" si="6"/>
        <v>0</v>
      </c>
      <c r="J52" s="476"/>
      <c r="K52" s="488"/>
      <c r="L52" s="479">
        <f t="shared" si="16"/>
        <v>0</v>
      </c>
      <c r="M52" s="488"/>
      <c r="N52" s="479">
        <f t="shared" si="11"/>
        <v>0</v>
      </c>
      <c r="O52" s="479">
        <f t="shared" si="12"/>
        <v>0</v>
      </c>
      <c r="P52" s="243"/>
    </row>
    <row r="53" spans="2:16" ht="12.5">
      <c r="B53" s="160" t="str">
        <f t="shared" si="7"/>
        <v/>
      </c>
      <c r="C53" s="473">
        <f>IF(D11="","-",+C52+1)</f>
        <v>2049</v>
      </c>
      <c r="D53" s="486">
        <f>IF(F52+SUM(E$17:E52)=D$10,F52,D$10-SUM(E$17:E52))</f>
        <v>144803.84358974308</v>
      </c>
      <c r="E53" s="485">
        <f t="shared" si="5"/>
        <v>23012.266666666666</v>
      </c>
      <c r="F53" s="486">
        <f t="shared" si="13"/>
        <v>121791.57692307641</v>
      </c>
      <c r="G53" s="487">
        <f t="shared" si="14"/>
        <v>39495.266666666663</v>
      </c>
      <c r="H53" s="456">
        <f t="shared" si="15"/>
        <v>39495.266666666663</v>
      </c>
      <c r="I53" s="476">
        <f t="shared" si="6"/>
        <v>0</v>
      </c>
      <c r="J53" s="476"/>
      <c r="K53" s="488"/>
      <c r="L53" s="479">
        <f t="shared" si="16"/>
        <v>0</v>
      </c>
      <c r="M53" s="488"/>
      <c r="N53" s="479">
        <f t="shared" si="11"/>
        <v>0</v>
      </c>
      <c r="O53" s="479">
        <f t="shared" si="12"/>
        <v>0</v>
      </c>
      <c r="P53" s="243"/>
    </row>
    <row r="54" spans="2:16" ht="12.5">
      <c r="B54" s="160" t="str">
        <f t="shared" si="7"/>
        <v/>
      </c>
      <c r="C54" s="473">
        <f>IF(D11="","-",+C53+1)</f>
        <v>2050</v>
      </c>
      <c r="D54" s="486">
        <f>IF(F53+SUM(E$17:E53)=D$10,F53,D$10-SUM(E$17:E53))</f>
        <v>121791.57692307641</v>
      </c>
      <c r="E54" s="485">
        <f t="shared" si="5"/>
        <v>23012.266666666666</v>
      </c>
      <c r="F54" s="486">
        <f t="shared" si="13"/>
        <v>98779.31025640975</v>
      </c>
      <c r="G54" s="487">
        <f t="shared" si="14"/>
        <v>36380.266666666663</v>
      </c>
      <c r="H54" s="456">
        <f t="shared" si="15"/>
        <v>36380.266666666663</v>
      </c>
      <c r="I54" s="476">
        <f t="shared" si="6"/>
        <v>0</v>
      </c>
      <c r="J54" s="476"/>
      <c r="K54" s="488"/>
      <c r="L54" s="479">
        <f t="shared" si="16"/>
        <v>0</v>
      </c>
      <c r="M54" s="488"/>
      <c r="N54" s="479">
        <f t="shared" si="11"/>
        <v>0</v>
      </c>
      <c r="O54" s="479">
        <f t="shared" si="12"/>
        <v>0</v>
      </c>
      <c r="P54" s="243"/>
    </row>
    <row r="55" spans="2:16" ht="12.5">
      <c r="B55" s="160" t="str">
        <f t="shared" si="7"/>
        <v/>
      </c>
      <c r="C55" s="473">
        <f>IF(D11="","-",+C54+1)</f>
        <v>2051</v>
      </c>
      <c r="D55" s="486">
        <f>IF(F54+SUM(E$17:E54)=D$10,F54,D$10-SUM(E$17:E54))</f>
        <v>98779.31025640975</v>
      </c>
      <c r="E55" s="485">
        <f t="shared" si="5"/>
        <v>23012.266666666666</v>
      </c>
      <c r="F55" s="486">
        <f t="shared" si="13"/>
        <v>75767.043589743087</v>
      </c>
      <c r="G55" s="487">
        <f t="shared" si="14"/>
        <v>33266.266666666663</v>
      </c>
      <c r="H55" s="456">
        <f t="shared" si="15"/>
        <v>33266.266666666663</v>
      </c>
      <c r="I55" s="476">
        <f t="shared" si="6"/>
        <v>0</v>
      </c>
      <c r="J55" s="476"/>
      <c r="K55" s="488"/>
      <c r="L55" s="479">
        <f t="shared" si="16"/>
        <v>0</v>
      </c>
      <c r="M55" s="488"/>
      <c r="N55" s="479">
        <f t="shared" si="11"/>
        <v>0</v>
      </c>
      <c r="O55" s="479">
        <f t="shared" si="12"/>
        <v>0</v>
      </c>
      <c r="P55" s="243"/>
    </row>
    <row r="56" spans="2:16" ht="12.5">
      <c r="B56" s="160" t="str">
        <f t="shared" si="7"/>
        <v/>
      </c>
      <c r="C56" s="473">
        <f>IF(D11="","-",+C55+1)</f>
        <v>2052</v>
      </c>
      <c r="D56" s="486">
        <f>IF(F55+SUM(E$17:E55)=D$10,F55,D$10-SUM(E$17:E55))</f>
        <v>75767.043589743087</v>
      </c>
      <c r="E56" s="485">
        <f t="shared" si="5"/>
        <v>23012.266666666666</v>
      </c>
      <c r="F56" s="486">
        <f t="shared" si="13"/>
        <v>52754.776923076424</v>
      </c>
      <c r="G56" s="487">
        <f t="shared" si="14"/>
        <v>30152.266666666666</v>
      </c>
      <c r="H56" s="456">
        <f t="shared" si="15"/>
        <v>30152.266666666666</v>
      </c>
      <c r="I56" s="476">
        <f t="shared" si="6"/>
        <v>0</v>
      </c>
      <c r="J56" s="476"/>
      <c r="K56" s="488"/>
      <c r="L56" s="479">
        <f t="shared" si="16"/>
        <v>0</v>
      </c>
      <c r="M56" s="488"/>
      <c r="N56" s="479">
        <f t="shared" si="11"/>
        <v>0</v>
      </c>
      <c r="O56" s="479">
        <f t="shared" si="12"/>
        <v>0</v>
      </c>
      <c r="P56" s="243"/>
    </row>
    <row r="57" spans="2:16" ht="12.5">
      <c r="B57" s="160" t="str">
        <f t="shared" si="7"/>
        <v/>
      </c>
      <c r="C57" s="473">
        <f>IF(D11="","-",+C56+1)</f>
        <v>2053</v>
      </c>
      <c r="D57" s="486">
        <f>IF(F56+SUM(E$17:E56)=D$10,F56,D$10-SUM(E$17:E56))</f>
        <v>52754.776923076424</v>
      </c>
      <c r="E57" s="485">
        <f t="shared" si="5"/>
        <v>23012.266666666666</v>
      </c>
      <c r="F57" s="486">
        <f t="shared" si="13"/>
        <v>29742.510256409758</v>
      </c>
      <c r="G57" s="487">
        <f t="shared" si="14"/>
        <v>27037.266666666666</v>
      </c>
      <c r="H57" s="456">
        <f t="shared" si="15"/>
        <v>27037.266666666666</v>
      </c>
      <c r="I57" s="476">
        <f t="shared" si="6"/>
        <v>0</v>
      </c>
      <c r="J57" s="476"/>
      <c r="K57" s="488"/>
      <c r="L57" s="479">
        <f t="shared" si="16"/>
        <v>0</v>
      </c>
      <c r="M57" s="488"/>
      <c r="N57" s="479">
        <f t="shared" si="11"/>
        <v>0</v>
      </c>
      <c r="O57" s="479">
        <f t="shared" si="12"/>
        <v>0</v>
      </c>
      <c r="P57" s="243"/>
    </row>
    <row r="58" spans="2:16" ht="12.5">
      <c r="B58" s="160" t="str">
        <f t="shared" si="7"/>
        <v/>
      </c>
      <c r="C58" s="473">
        <f>IF(D11="","-",+C57+1)</f>
        <v>2054</v>
      </c>
      <c r="D58" s="486">
        <f>IF(F57+SUM(E$17:E57)=D$10,F57,D$10-SUM(E$17:E57))</f>
        <v>29742.510256409758</v>
      </c>
      <c r="E58" s="485">
        <f t="shared" si="5"/>
        <v>23012.266666666666</v>
      </c>
      <c r="F58" s="486">
        <f t="shared" si="13"/>
        <v>6730.2435897430914</v>
      </c>
      <c r="G58" s="487">
        <f t="shared" si="14"/>
        <v>23923.266666666666</v>
      </c>
      <c r="H58" s="456">
        <f t="shared" si="15"/>
        <v>23923.266666666666</v>
      </c>
      <c r="I58" s="476">
        <f t="shared" si="6"/>
        <v>0</v>
      </c>
      <c r="J58" s="476"/>
      <c r="K58" s="488"/>
      <c r="L58" s="479">
        <f t="shared" si="16"/>
        <v>0</v>
      </c>
      <c r="M58" s="488"/>
      <c r="N58" s="479">
        <f t="shared" si="11"/>
        <v>0</v>
      </c>
      <c r="O58" s="479">
        <f t="shared" si="12"/>
        <v>0</v>
      </c>
      <c r="P58" s="243"/>
    </row>
    <row r="59" spans="2:16" ht="12.5">
      <c r="B59" s="160" t="str">
        <f t="shared" si="7"/>
        <v/>
      </c>
      <c r="C59" s="473">
        <f>IF(D11="","-",+C58+1)</f>
        <v>2055</v>
      </c>
      <c r="D59" s="486">
        <f>IF(F58+SUM(E$17:E58)=D$10,F58,D$10-SUM(E$17:E58))</f>
        <v>6730.2435897430914</v>
      </c>
      <c r="E59" s="485">
        <f t="shared" si="5"/>
        <v>6730.2435897430914</v>
      </c>
      <c r="F59" s="486">
        <f t="shared" si="13"/>
        <v>0</v>
      </c>
      <c r="G59" s="487">
        <f t="shared" si="14"/>
        <v>6730.2435897430914</v>
      </c>
      <c r="H59" s="456">
        <f t="shared" si="15"/>
        <v>6730.2435897430914</v>
      </c>
      <c r="I59" s="476">
        <f t="shared" si="6"/>
        <v>0</v>
      </c>
      <c r="J59" s="476"/>
      <c r="K59" s="488"/>
      <c r="L59" s="479">
        <f t="shared" si="16"/>
        <v>0</v>
      </c>
      <c r="M59" s="488"/>
      <c r="N59" s="479">
        <f t="shared" si="11"/>
        <v>0</v>
      </c>
      <c r="O59" s="479">
        <f t="shared" si="12"/>
        <v>0</v>
      </c>
      <c r="P59" s="243"/>
    </row>
    <row r="60" spans="2:16" ht="12.5">
      <c r="B60" s="160" t="str">
        <f t="shared" si="7"/>
        <v/>
      </c>
      <c r="C60" s="473">
        <f>IF(D11="","-",+C59+1)</f>
        <v>2056</v>
      </c>
      <c r="D60" s="486">
        <f>IF(F59+SUM(E$17:E59)=D$10,F59,D$10-SUM(E$17:E59))</f>
        <v>0</v>
      </c>
      <c r="E60" s="485">
        <f t="shared" si="5"/>
        <v>0</v>
      </c>
      <c r="F60" s="486">
        <f t="shared" si="13"/>
        <v>0</v>
      </c>
      <c r="G60" s="487">
        <f t="shared" si="14"/>
        <v>0</v>
      </c>
      <c r="H60" s="456">
        <f t="shared" si="15"/>
        <v>0</v>
      </c>
      <c r="I60" s="476">
        <f t="shared" si="6"/>
        <v>0</v>
      </c>
      <c r="J60" s="476"/>
      <c r="K60" s="488"/>
      <c r="L60" s="479">
        <f t="shared" si="16"/>
        <v>0</v>
      </c>
      <c r="M60" s="488"/>
      <c r="N60" s="479">
        <f t="shared" si="11"/>
        <v>0</v>
      </c>
      <c r="O60" s="479">
        <f t="shared" si="12"/>
        <v>0</v>
      </c>
      <c r="P60" s="243"/>
    </row>
    <row r="61" spans="2:16" ht="12.5">
      <c r="B61" s="160" t="str">
        <f t="shared" si="7"/>
        <v/>
      </c>
      <c r="C61" s="473">
        <f>IF(D11="","-",+C60+1)</f>
        <v>2057</v>
      </c>
      <c r="D61" s="486">
        <f>IF(F60+SUM(E$17:E60)=D$10,F60,D$10-SUM(E$17:E60))</f>
        <v>0</v>
      </c>
      <c r="E61" s="485">
        <f t="shared" si="5"/>
        <v>0</v>
      </c>
      <c r="F61" s="486">
        <f t="shared" si="13"/>
        <v>0</v>
      </c>
      <c r="G61" s="487">
        <f t="shared" si="14"/>
        <v>0</v>
      </c>
      <c r="H61" s="456">
        <f t="shared" si="15"/>
        <v>0</v>
      </c>
      <c r="I61" s="476">
        <f t="shared" si="6"/>
        <v>0</v>
      </c>
      <c r="J61" s="476"/>
      <c r="K61" s="488"/>
      <c r="L61" s="479">
        <f t="shared" si="16"/>
        <v>0</v>
      </c>
      <c r="M61" s="488"/>
      <c r="N61" s="479">
        <f t="shared" si="11"/>
        <v>0</v>
      </c>
      <c r="O61" s="479">
        <f t="shared" si="12"/>
        <v>0</v>
      </c>
      <c r="P61" s="243"/>
    </row>
    <row r="62" spans="2:16" ht="12.5">
      <c r="B62" s="160" t="str">
        <f t="shared" si="7"/>
        <v/>
      </c>
      <c r="C62" s="473">
        <f>IF(D11="","-",+C61+1)</f>
        <v>2058</v>
      </c>
      <c r="D62" s="486">
        <f>IF(F61+SUM(E$17:E61)=D$10,F61,D$10-SUM(E$17:E61))</f>
        <v>0</v>
      </c>
      <c r="E62" s="485">
        <f t="shared" si="5"/>
        <v>0</v>
      </c>
      <c r="F62" s="486">
        <f t="shared" si="13"/>
        <v>0</v>
      </c>
      <c r="G62" s="487">
        <f t="shared" si="14"/>
        <v>0</v>
      </c>
      <c r="H62" s="456">
        <f t="shared" si="15"/>
        <v>0</v>
      </c>
      <c r="I62" s="476">
        <f t="shared" si="6"/>
        <v>0</v>
      </c>
      <c r="J62" s="476"/>
      <c r="K62" s="488"/>
      <c r="L62" s="479">
        <f t="shared" si="16"/>
        <v>0</v>
      </c>
      <c r="M62" s="488"/>
      <c r="N62" s="479">
        <f t="shared" si="11"/>
        <v>0</v>
      </c>
      <c r="O62" s="479">
        <f t="shared" si="12"/>
        <v>0</v>
      </c>
      <c r="P62" s="243"/>
    </row>
    <row r="63" spans="2:16" ht="12.5">
      <c r="B63" s="160" t="str">
        <f t="shared" si="7"/>
        <v/>
      </c>
      <c r="C63" s="473">
        <f>IF(D11="","-",+C62+1)</f>
        <v>2059</v>
      </c>
      <c r="D63" s="486">
        <f>IF(F62+SUM(E$17:E62)=D$10,F62,D$10-SUM(E$17:E62))</f>
        <v>0</v>
      </c>
      <c r="E63" s="485">
        <f t="shared" si="5"/>
        <v>0</v>
      </c>
      <c r="F63" s="486">
        <f t="shared" si="13"/>
        <v>0</v>
      </c>
      <c r="G63" s="487">
        <f t="shared" si="14"/>
        <v>0</v>
      </c>
      <c r="H63" s="456">
        <f t="shared" si="15"/>
        <v>0</v>
      </c>
      <c r="I63" s="476">
        <f t="shared" si="6"/>
        <v>0</v>
      </c>
      <c r="J63" s="476"/>
      <c r="K63" s="488"/>
      <c r="L63" s="479">
        <f t="shared" si="16"/>
        <v>0</v>
      </c>
      <c r="M63" s="488"/>
      <c r="N63" s="479">
        <f t="shared" si="11"/>
        <v>0</v>
      </c>
      <c r="O63" s="479">
        <f t="shared" si="12"/>
        <v>0</v>
      </c>
      <c r="P63" s="243"/>
    </row>
    <row r="64" spans="2:16" ht="12.5">
      <c r="B64" s="160" t="str">
        <f t="shared" si="7"/>
        <v/>
      </c>
      <c r="C64" s="473">
        <f>IF(D11="","-",+C63+1)</f>
        <v>2060</v>
      </c>
      <c r="D64" s="486">
        <f>IF(F63+SUM(E$17:E63)=D$10,F63,D$10-SUM(E$17:E63))</f>
        <v>0</v>
      </c>
      <c r="E64" s="485">
        <f t="shared" si="5"/>
        <v>0</v>
      </c>
      <c r="F64" s="486">
        <f t="shared" si="13"/>
        <v>0</v>
      </c>
      <c r="G64" s="487">
        <f t="shared" si="14"/>
        <v>0</v>
      </c>
      <c r="H64" s="456">
        <f t="shared" si="15"/>
        <v>0</v>
      </c>
      <c r="I64" s="476">
        <f t="shared" si="6"/>
        <v>0</v>
      </c>
      <c r="J64" s="476"/>
      <c r="K64" s="488"/>
      <c r="L64" s="479">
        <f t="shared" si="16"/>
        <v>0</v>
      </c>
      <c r="M64" s="488"/>
      <c r="N64" s="479">
        <f t="shared" si="11"/>
        <v>0</v>
      </c>
      <c r="O64" s="479">
        <f t="shared" si="12"/>
        <v>0</v>
      </c>
      <c r="P64" s="243"/>
    </row>
    <row r="65" spans="2:16" ht="12.5">
      <c r="B65" s="160" t="str">
        <f t="shared" si="7"/>
        <v/>
      </c>
      <c r="C65" s="473">
        <f>IF(D11="","-",+C64+1)</f>
        <v>2061</v>
      </c>
      <c r="D65" s="486">
        <f>IF(F64+SUM(E$17:E64)=D$10,F64,D$10-SUM(E$17:E64))</f>
        <v>0</v>
      </c>
      <c r="E65" s="485">
        <f t="shared" si="5"/>
        <v>0</v>
      </c>
      <c r="F65" s="486">
        <f t="shared" si="13"/>
        <v>0</v>
      </c>
      <c r="G65" s="487">
        <f t="shared" si="14"/>
        <v>0</v>
      </c>
      <c r="H65" s="456">
        <f t="shared" si="15"/>
        <v>0</v>
      </c>
      <c r="I65" s="476">
        <f t="shared" si="6"/>
        <v>0</v>
      </c>
      <c r="J65" s="476"/>
      <c r="K65" s="488"/>
      <c r="L65" s="479">
        <f t="shared" si="16"/>
        <v>0</v>
      </c>
      <c r="M65" s="488"/>
      <c r="N65" s="479">
        <f t="shared" si="11"/>
        <v>0</v>
      </c>
      <c r="O65" s="479">
        <f t="shared" si="12"/>
        <v>0</v>
      </c>
      <c r="P65" s="243"/>
    </row>
    <row r="66" spans="2:16" ht="12.5">
      <c r="B66" s="160" t="str">
        <f t="shared" si="7"/>
        <v/>
      </c>
      <c r="C66" s="473">
        <f>IF(D11="","-",+C65+1)</f>
        <v>2062</v>
      </c>
      <c r="D66" s="486">
        <f>IF(F65+SUM(E$17:E65)=D$10,F65,D$10-SUM(E$17:E65))</f>
        <v>0</v>
      </c>
      <c r="E66" s="485">
        <f t="shared" si="5"/>
        <v>0</v>
      </c>
      <c r="F66" s="486">
        <f t="shared" si="13"/>
        <v>0</v>
      </c>
      <c r="G66" s="487">
        <f t="shared" si="14"/>
        <v>0</v>
      </c>
      <c r="H66" s="456">
        <f t="shared" si="15"/>
        <v>0</v>
      </c>
      <c r="I66" s="476">
        <f t="shared" si="6"/>
        <v>0</v>
      </c>
      <c r="J66" s="476"/>
      <c r="K66" s="488"/>
      <c r="L66" s="479">
        <f t="shared" si="16"/>
        <v>0</v>
      </c>
      <c r="M66" s="488"/>
      <c r="N66" s="479">
        <f t="shared" si="11"/>
        <v>0</v>
      </c>
      <c r="O66" s="479">
        <f t="shared" si="12"/>
        <v>0</v>
      </c>
      <c r="P66" s="243"/>
    </row>
    <row r="67" spans="2:16" ht="12.5">
      <c r="B67" s="160" t="str">
        <f t="shared" si="7"/>
        <v/>
      </c>
      <c r="C67" s="473">
        <f>IF(D11="","-",+C66+1)</f>
        <v>2063</v>
      </c>
      <c r="D67" s="486">
        <f>IF(F66+SUM(E$17:E66)=D$10,F66,D$10-SUM(E$17:E66))</f>
        <v>0</v>
      </c>
      <c r="E67" s="485">
        <f t="shared" si="5"/>
        <v>0</v>
      </c>
      <c r="F67" s="486">
        <f t="shared" si="13"/>
        <v>0</v>
      </c>
      <c r="G67" s="487">
        <f t="shared" si="14"/>
        <v>0</v>
      </c>
      <c r="H67" s="456">
        <f t="shared" si="15"/>
        <v>0</v>
      </c>
      <c r="I67" s="476">
        <f t="shared" si="6"/>
        <v>0</v>
      </c>
      <c r="J67" s="476"/>
      <c r="K67" s="488"/>
      <c r="L67" s="479">
        <f t="shared" si="16"/>
        <v>0</v>
      </c>
      <c r="M67" s="488"/>
      <c r="N67" s="479">
        <f t="shared" si="11"/>
        <v>0</v>
      </c>
      <c r="O67" s="479">
        <f t="shared" si="12"/>
        <v>0</v>
      </c>
      <c r="P67" s="243"/>
    </row>
    <row r="68" spans="2:16" ht="12.5">
      <c r="B68" s="160" t="str">
        <f t="shared" si="7"/>
        <v/>
      </c>
      <c r="C68" s="473">
        <f>IF(D11="","-",+C67+1)</f>
        <v>2064</v>
      </c>
      <c r="D68" s="486">
        <f>IF(F67+SUM(E$17:E67)=D$10,F67,D$10-SUM(E$17:E67))</f>
        <v>0</v>
      </c>
      <c r="E68" s="485">
        <f t="shared" si="5"/>
        <v>0</v>
      </c>
      <c r="F68" s="486">
        <f t="shared" si="13"/>
        <v>0</v>
      </c>
      <c r="G68" s="487">
        <f t="shared" si="14"/>
        <v>0</v>
      </c>
      <c r="H68" s="456">
        <f t="shared" si="15"/>
        <v>0</v>
      </c>
      <c r="I68" s="476">
        <f t="shared" si="6"/>
        <v>0</v>
      </c>
      <c r="J68" s="476"/>
      <c r="K68" s="488"/>
      <c r="L68" s="479">
        <f t="shared" si="16"/>
        <v>0</v>
      </c>
      <c r="M68" s="488"/>
      <c r="N68" s="479">
        <f t="shared" si="11"/>
        <v>0</v>
      </c>
      <c r="O68" s="479">
        <f t="shared" si="12"/>
        <v>0</v>
      </c>
      <c r="P68" s="243"/>
    </row>
    <row r="69" spans="2:16" ht="12.5">
      <c r="B69" s="160" t="str">
        <f t="shared" si="7"/>
        <v/>
      </c>
      <c r="C69" s="473">
        <f>IF(D11="","-",+C68+1)</f>
        <v>2065</v>
      </c>
      <c r="D69" s="486">
        <f>IF(F68+SUM(E$17:E68)=D$10,F68,D$10-SUM(E$17:E68))</f>
        <v>0</v>
      </c>
      <c r="E69" s="485">
        <f t="shared" si="5"/>
        <v>0</v>
      </c>
      <c r="F69" s="486">
        <f t="shared" si="13"/>
        <v>0</v>
      </c>
      <c r="G69" s="487">
        <f t="shared" si="14"/>
        <v>0</v>
      </c>
      <c r="H69" s="456">
        <f t="shared" si="15"/>
        <v>0</v>
      </c>
      <c r="I69" s="476">
        <f t="shared" si="6"/>
        <v>0</v>
      </c>
      <c r="J69" s="476"/>
      <c r="K69" s="488"/>
      <c r="L69" s="479">
        <f t="shared" si="16"/>
        <v>0</v>
      </c>
      <c r="M69" s="488"/>
      <c r="N69" s="479">
        <f t="shared" si="11"/>
        <v>0</v>
      </c>
      <c r="O69" s="479">
        <f t="shared" si="12"/>
        <v>0</v>
      </c>
      <c r="P69" s="243"/>
    </row>
    <row r="70" spans="2:16" ht="12.5">
      <c r="B70" s="160" t="str">
        <f t="shared" si="7"/>
        <v/>
      </c>
      <c r="C70" s="473">
        <f>IF(D11="","-",+C69+1)</f>
        <v>2066</v>
      </c>
      <c r="D70" s="486">
        <f>IF(F69+SUM(E$17:E69)=D$10,F69,D$10-SUM(E$17:E69))</f>
        <v>0</v>
      </c>
      <c r="E70" s="485">
        <f t="shared" si="5"/>
        <v>0</v>
      </c>
      <c r="F70" s="486">
        <f t="shared" si="13"/>
        <v>0</v>
      </c>
      <c r="G70" s="487">
        <f t="shared" si="14"/>
        <v>0</v>
      </c>
      <c r="H70" s="456">
        <f t="shared" si="15"/>
        <v>0</v>
      </c>
      <c r="I70" s="476">
        <f t="shared" si="6"/>
        <v>0</v>
      </c>
      <c r="J70" s="476"/>
      <c r="K70" s="488"/>
      <c r="L70" s="479">
        <f t="shared" si="16"/>
        <v>0</v>
      </c>
      <c r="M70" s="488"/>
      <c r="N70" s="479">
        <f t="shared" si="11"/>
        <v>0</v>
      </c>
      <c r="O70" s="479">
        <f t="shared" si="12"/>
        <v>0</v>
      </c>
      <c r="P70" s="243"/>
    </row>
    <row r="71" spans="2:16" ht="12.5">
      <c r="B71" s="160" t="str">
        <f t="shared" si="7"/>
        <v/>
      </c>
      <c r="C71" s="473">
        <f>IF(D11="","-",+C70+1)</f>
        <v>2067</v>
      </c>
      <c r="D71" s="486">
        <f>IF(F70+SUM(E$17:E70)=D$10,F70,D$10-SUM(E$17:E70))</f>
        <v>0</v>
      </c>
      <c r="E71" s="485">
        <f t="shared" si="5"/>
        <v>0</v>
      </c>
      <c r="F71" s="486">
        <f t="shared" si="13"/>
        <v>0</v>
      </c>
      <c r="G71" s="487">
        <f t="shared" si="14"/>
        <v>0</v>
      </c>
      <c r="H71" s="456">
        <f t="shared" si="15"/>
        <v>0</v>
      </c>
      <c r="I71" s="476">
        <f t="shared" si="6"/>
        <v>0</v>
      </c>
      <c r="J71" s="476"/>
      <c r="K71" s="488"/>
      <c r="L71" s="479">
        <f t="shared" si="16"/>
        <v>0</v>
      </c>
      <c r="M71" s="488"/>
      <c r="N71" s="479">
        <f t="shared" si="11"/>
        <v>0</v>
      </c>
      <c r="O71" s="479">
        <f t="shared" si="12"/>
        <v>0</v>
      </c>
      <c r="P71" s="243"/>
    </row>
    <row r="72" spans="2:16" ht="13" thickBot="1">
      <c r="B72" s="160" t="str">
        <f t="shared" si="7"/>
        <v/>
      </c>
      <c r="C72" s="490">
        <f>IF(D11="","-",+C71+1)</f>
        <v>2068</v>
      </c>
      <c r="D72" s="486">
        <f>IF(F71+SUM(E$17:E71)=D$10,F71,D$10-SUM(E$17:E71))</f>
        <v>0</v>
      </c>
      <c r="E72" s="485">
        <f t="shared" si="5"/>
        <v>0</v>
      </c>
      <c r="F72" s="486">
        <f t="shared" si="13"/>
        <v>0</v>
      </c>
      <c r="G72" s="487">
        <f t="shared" si="14"/>
        <v>0</v>
      </c>
      <c r="H72" s="456">
        <f t="shared" si="15"/>
        <v>0</v>
      </c>
      <c r="I72" s="476">
        <f t="shared" si="6"/>
        <v>0</v>
      </c>
      <c r="J72" s="476"/>
      <c r="K72" s="495"/>
      <c r="L72" s="496">
        <f t="shared" si="16"/>
        <v>0</v>
      </c>
      <c r="M72" s="495"/>
      <c r="N72" s="496">
        <f t="shared" si="11"/>
        <v>0</v>
      </c>
      <c r="O72" s="496">
        <f t="shared" si="12"/>
        <v>0</v>
      </c>
      <c r="P72" s="243"/>
    </row>
    <row r="73" spans="2:16" ht="12.5">
      <c r="C73" s="347" t="s">
        <v>77</v>
      </c>
      <c r="D73" s="348"/>
      <c r="E73" s="348">
        <f>SUM(E17:E72)</f>
        <v>1035552.0000000006</v>
      </c>
      <c r="F73" s="348"/>
      <c r="G73" s="348">
        <f>SUM(G17:G72)</f>
        <v>5618351.0626320345</v>
      </c>
      <c r="H73" s="348">
        <f>SUM(H17:H72)</f>
        <v>5618351.0626320345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14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117695.9465116283</v>
      </c>
      <c r="N87" s="509">
        <f>IF(J92&lt;D11,0,VLOOKUP(J92,C17:O72,11))</f>
        <v>117695.9465116283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117790.85676358812</v>
      </c>
      <c r="N88" s="513">
        <f>IF(J92&lt;D11,0,VLOOKUP(J92,C99:P154,7))</f>
        <v>117790.85676358812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Ashdown West - Craig Junction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94.910251959823654</v>
      </c>
      <c r="N89" s="518">
        <f>+N88-N87</f>
        <v>94.910251959823654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TP2009092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1035552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605" t="s">
        <v>271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+D12</f>
        <v>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25257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 t="str">
        <f>IF(D93= "","-",D93)</f>
        <v>2013</v>
      </c>
      <c r="D99" s="585">
        <v>0</v>
      </c>
      <c r="E99" s="586">
        <v>16595</v>
      </c>
      <c r="F99" s="587">
        <v>1018741</v>
      </c>
      <c r="G99" s="606">
        <v>509371</v>
      </c>
      <c r="H99" s="607">
        <v>89910</v>
      </c>
      <c r="I99" s="608">
        <v>89910</v>
      </c>
      <c r="J99" s="479">
        <v>0</v>
      </c>
      <c r="K99" s="479"/>
      <c r="L99" s="477">
        <f t="shared" ref="L99:L104" si="17">H99</f>
        <v>89910</v>
      </c>
      <c r="M99" s="349">
        <f t="shared" ref="M99:M104" si="18">IF(L99&lt;&gt;0,+H99-L99,0)</f>
        <v>0</v>
      </c>
      <c r="N99" s="477">
        <f t="shared" ref="N99:N104" si="19">I99</f>
        <v>89910</v>
      </c>
      <c r="O99" s="476">
        <f t="shared" ref="O99:O104" si="20">IF(N99&lt;&gt;0,+I99-N99,0)</f>
        <v>0</v>
      </c>
      <c r="P99" s="479">
        <f t="shared" ref="P99:P104" si="21">+O99-M99</f>
        <v>0</v>
      </c>
    </row>
    <row r="100" spans="1:16" ht="12.5">
      <c r="B100" s="160" t="str">
        <f>IF(D100=F99,"","IU")</f>
        <v>IU</v>
      </c>
      <c r="C100" s="473">
        <f>IF(D93="","-",+C99+1)</f>
        <v>2014</v>
      </c>
      <c r="D100" s="585">
        <v>1018957</v>
      </c>
      <c r="E100" s="586">
        <v>19914</v>
      </c>
      <c r="F100" s="587">
        <v>999043</v>
      </c>
      <c r="G100" s="587">
        <v>1009000</v>
      </c>
      <c r="H100" s="586">
        <v>161775</v>
      </c>
      <c r="I100" s="588">
        <v>161775</v>
      </c>
      <c r="J100" s="479">
        <f>+I100-H100</f>
        <v>0</v>
      </c>
      <c r="K100" s="479"/>
      <c r="L100" s="477">
        <f t="shared" si="17"/>
        <v>161775</v>
      </c>
      <c r="M100" s="349">
        <f t="shared" si="18"/>
        <v>0</v>
      </c>
      <c r="N100" s="477">
        <f t="shared" si="19"/>
        <v>161775</v>
      </c>
      <c r="O100" s="476">
        <f t="shared" si="20"/>
        <v>0</v>
      </c>
      <c r="P100" s="479">
        <f t="shared" si="21"/>
        <v>0</v>
      </c>
    </row>
    <row r="101" spans="1:16" ht="12.5">
      <c r="B101" s="160" t="str">
        <f t="shared" ref="B101:B154" si="22">IF(D101=F100,"","IU")</f>
        <v/>
      </c>
      <c r="C101" s="473">
        <f>IF(D93="","-",+C100+1)</f>
        <v>2015</v>
      </c>
      <c r="D101" s="585">
        <v>999043</v>
      </c>
      <c r="E101" s="586">
        <v>19914</v>
      </c>
      <c r="F101" s="587">
        <v>979129</v>
      </c>
      <c r="G101" s="587">
        <v>989086</v>
      </c>
      <c r="H101" s="586">
        <v>154866.83205665913</v>
      </c>
      <c r="I101" s="588">
        <v>154866.83205665913</v>
      </c>
      <c r="J101" s="479">
        <f>+I101-H101</f>
        <v>0</v>
      </c>
      <c r="K101" s="479"/>
      <c r="L101" s="477">
        <f t="shared" si="17"/>
        <v>154866.83205665913</v>
      </c>
      <c r="M101" s="349">
        <f t="shared" si="18"/>
        <v>0</v>
      </c>
      <c r="N101" s="477">
        <f t="shared" si="19"/>
        <v>154866.83205665913</v>
      </c>
      <c r="O101" s="476">
        <f t="shared" si="20"/>
        <v>0</v>
      </c>
      <c r="P101" s="479">
        <f t="shared" si="21"/>
        <v>0</v>
      </c>
    </row>
    <row r="102" spans="1:16" ht="12.5">
      <c r="B102" s="160" t="str">
        <f t="shared" si="22"/>
        <v/>
      </c>
      <c r="C102" s="473">
        <f>IF(D93="","-",+C101+1)</f>
        <v>2016</v>
      </c>
      <c r="D102" s="585">
        <v>979129</v>
      </c>
      <c r="E102" s="586">
        <v>22512</v>
      </c>
      <c r="F102" s="587">
        <v>956617</v>
      </c>
      <c r="G102" s="587">
        <v>967873</v>
      </c>
      <c r="H102" s="586">
        <v>147286.07261026395</v>
      </c>
      <c r="I102" s="588">
        <v>147286.07261026395</v>
      </c>
      <c r="J102" s="479">
        <f t="shared" ref="J102:J154" si="23">+I102-H102</f>
        <v>0</v>
      </c>
      <c r="K102" s="479"/>
      <c r="L102" s="477">
        <f t="shared" si="17"/>
        <v>147286.07261026395</v>
      </c>
      <c r="M102" s="349">
        <f t="shared" si="18"/>
        <v>0</v>
      </c>
      <c r="N102" s="477">
        <f t="shared" si="19"/>
        <v>147286.07261026395</v>
      </c>
      <c r="O102" s="476">
        <f t="shared" si="20"/>
        <v>0</v>
      </c>
      <c r="P102" s="479">
        <f t="shared" si="21"/>
        <v>0</v>
      </c>
    </row>
    <row r="103" spans="1:16" ht="12.5">
      <c r="B103" s="160" t="str">
        <f t="shared" si="22"/>
        <v/>
      </c>
      <c r="C103" s="473">
        <f>IF(D93="","-",+C102+1)</f>
        <v>2017</v>
      </c>
      <c r="D103" s="585">
        <v>956617</v>
      </c>
      <c r="E103" s="586">
        <v>22512</v>
      </c>
      <c r="F103" s="587">
        <v>934105</v>
      </c>
      <c r="G103" s="587">
        <v>945361</v>
      </c>
      <c r="H103" s="586">
        <v>142433.42657860837</v>
      </c>
      <c r="I103" s="588">
        <v>142433.42657860837</v>
      </c>
      <c r="J103" s="479">
        <f t="shared" si="23"/>
        <v>0</v>
      </c>
      <c r="K103" s="479"/>
      <c r="L103" s="477">
        <f t="shared" si="17"/>
        <v>142433.42657860837</v>
      </c>
      <c r="M103" s="349">
        <f t="shared" si="18"/>
        <v>0</v>
      </c>
      <c r="N103" s="477">
        <f t="shared" si="19"/>
        <v>142433.42657860837</v>
      </c>
      <c r="O103" s="476">
        <f t="shared" si="20"/>
        <v>0</v>
      </c>
      <c r="P103" s="479">
        <f t="shared" si="21"/>
        <v>0</v>
      </c>
    </row>
    <row r="104" spans="1:16" ht="12.5">
      <c r="B104" s="160" t="str">
        <f t="shared" si="22"/>
        <v/>
      </c>
      <c r="C104" s="473">
        <f>IF(D93="","-",+C103+1)</f>
        <v>2018</v>
      </c>
      <c r="D104" s="585">
        <v>934105</v>
      </c>
      <c r="E104" s="586">
        <v>24083</v>
      </c>
      <c r="F104" s="587">
        <v>910022</v>
      </c>
      <c r="G104" s="587">
        <v>922063.5</v>
      </c>
      <c r="H104" s="586">
        <v>118811.71632291189</v>
      </c>
      <c r="I104" s="588">
        <v>118811.71632291189</v>
      </c>
      <c r="J104" s="479">
        <f t="shared" si="23"/>
        <v>0</v>
      </c>
      <c r="K104" s="479"/>
      <c r="L104" s="477">
        <f t="shared" si="17"/>
        <v>118811.71632291189</v>
      </c>
      <c r="M104" s="349">
        <f t="shared" si="18"/>
        <v>0</v>
      </c>
      <c r="N104" s="477">
        <f t="shared" si="19"/>
        <v>118811.71632291189</v>
      </c>
      <c r="O104" s="476">
        <f t="shared" si="20"/>
        <v>0</v>
      </c>
      <c r="P104" s="479">
        <f t="shared" si="21"/>
        <v>0</v>
      </c>
    </row>
    <row r="105" spans="1:16" ht="12.5">
      <c r="B105" s="160" t="str">
        <f t="shared" si="22"/>
        <v/>
      </c>
      <c r="C105" s="473">
        <f>IF(D93="","-",+C104+1)</f>
        <v>2019</v>
      </c>
      <c r="D105" s="347">
        <f>IF(F104+SUM(E$99:E104)=D$92,F104,D$92-SUM(E$99:E104))</f>
        <v>910022</v>
      </c>
      <c r="E105" s="485">
        <f t="shared" ref="E105:E154" si="24">IF(+J$96&lt;F104,J$96,D105)</f>
        <v>25257</v>
      </c>
      <c r="F105" s="486">
        <f t="shared" ref="F105:F154" si="25">+D105-E105</f>
        <v>884765</v>
      </c>
      <c r="G105" s="486">
        <f t="shared" ref="G105:G154" si="26">+(F105+D105)/2</f>
        <v>897393.5</v>
      </c>
      <c r="H105" s="489">
        <f t="shared" ref="H105:H154" si="27">+J$94*G105+E105</f>
        <v>117790.85676358812</v>
      </c>
      <c r="I105" s="543">
        <f t="shared" ref="I105:I154" si="28">+J$95*G105+E105</f>
        <v>117790.85676358812</v>
      </c>
      <c r="J105" s="479">
        <f t="shared" si="23"/>
        <v>0</v>
      </c>
      <c r="K105" s="479"/>
      <c r="L105" s="488"/>
      <c r="M105" s="479">
        <f t="shared" ref="M105:M130" si="29">IF(L105&lt;&gt;0,+H105-L105,0)</f>
        <v>0</v>
      </c>
      <c r="N105" s="488"/>
      <c r="O105" s="479">
        <f t="shared" ref="O105:O130" si="30">IF(N105&lt;&gt;0,+I105-N105,0)</f>
        <v>0</v>
      </c>
      <c r="P105" s="479">
        <f t="shared" ref="P105:P130" si="31">+O105-M105</f>
        <v>0</v>
      </c>
    </row>
    <row r="106" spans="1:16" ht="12.5">
      <c r="B106" s="160" t="str">
        <f t="shared" si="22"/>
        <v/>
      </c>
      <c r="C106" s="473">
        <f>IF(D93="","-",+C105+1)</f>
        <v>2020</v>
      </c>
      <c r="D106" s="347">
        <f>IF(F105+SUM(E$99:E105)=D$92,F105,D$92-SUM(E$99:E105))</f>
        <v>884765</v>
      </c>
      <c r="E106" s="485">
        <f t="shared" si="24"/>
        <v>25257</v>
      </c>
      <c r="F106" s="486">
        <f t="shared" si="25"/>
        <v>859508</v>
      </c>
      <c r="G106" s="486">
        <f t="shared" si="26"/>
        <v>872136.5</v>
      </c>
      <c r="H106" s="489">
        <f t="shared" si="27"/>
        <v>115186.50580686964</v>
      </c>
      <c r="I106" s="543">
        <f t="shared" si="28"/>
        <v>115186.50580686964</v>
      </c>
      <c r="J106" s="479">
        <f t="shared" si="23"/>
        <v>0</v>
      </c>
      <c r="K106" s="479"/>
      <c r="L106" s="488"/>
      <c r="M106" s="479">
        <f t="shared" si="29"/>
        <v>0</v>
      </c>
      <c r="N106" s="488"/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2"/>
        <v/>
      </c>
      <c r="C107" s="473">
        <f>IF(D93="","-",+C106+1)</f>
        <v>2021</v>
      </c>
      <c r="D107" s="347">
        <f>IF(F106+SUM(E$99:E106)=D$92,F106,D$92-SUM(E$99:E106))</f>
        <v>859508</v>
      </c>
      <c r="E107" s="485">
        <f t="shared" si="24"/>
        <v>25257</v>
      </c>
      <c r="F107" s="486">
        <f t="shared" si="25"/>
        <v>834251</v>
      </c>
      <c r="G107" s="486">
        <f t="shared" si="26"/>
        <v>846879.5</v>
      </c>
      <c r="H107" s="489">
        <f t="shared" si="27"/>
        <v>112582.15485015117</v>
      </c>
      <c r="I107" s="543">
        <f t="shared" si="28"/>
        <v>112582.15485015117</v>
      </c>
      <c r="J107" s="479">
        <f t="shared" si="23"/>
        <v>0</v>
      </c>
      <c r="K107" s="479"/>
      <c r="L107" s="488"/>
      <c r="M107" s="479">
        <f t="shared" si="29"/>
        <v>0</v>
      </c>
      <c r="N107" s="488"/>
      <c r="O107" s="479">
        <f t="shared" si="30"/>
        <v>0</v>
      </c>
      <c r="P107" s="479">
        <f t="shared" si="31"/>
        <v>0</v>
      </c>
    </row>
    <row r="108" spans="1:16" ht="12.5">
      <c r="B108" s="160" t="str">
        <f t="shared" si="22"/>
        <v/>
      </c>
      <c r="C108" s="473">
        <f>IF(D93="","-",+C107+1)</f>
        <v>2022</v>
      </c>
      <c r="D108" s="347">
        <f>IF(F107+SUM(E$99:E107)=D$92,F107,D$92-SUM(E$99:E107))</f>
        <v>834251</v>
      </c>
      <c r="E108" s="485">
        <f t="shared" si="24"/>
        <v>25257</v>
      </c>
      <c r="F108" s="486">
        <f t="shared" si="25"/>
        <v>808994</v>
      </c>
      <c r="G108" s="486">
        <f t="shared" si="26"/>
        <v>821622.5</v>
      </c>
      <c r="H108" s="489">
        <f t="shared" si="27"/>
        <v>109977.80389343269</v>
      </c>
      <c r="I108" s="543">
        <f t="shared" si="28"/>
        <v>109977.80389343269</v>
      </c>
      <c r="J108" s="479">
        <f t="shared" si="23"/>
        <v>0</v>
      </c>
      <c r="K108" s="479"/>
      <c r="L108" s="488"/>
      <c r="M108" s="479">
        <f t="shared" si="29"/>
        <v>0</v>
      </c>
      <c r="N108" s="488"/>
      <c r="O108" s="479">
        <f t="shared" si="30"/>
        <v>0</v>
      </c>
      <c r="P108" s="479">
        <f t="shared" si="31"/>
        <v>0</v>
      </c>
    </row>
    <row r="109" spans="1:16" ht="12.5">
      <c r="B109" s="160" t="str">
        <f t="shared" si="22"/>
        <v/>
      </c>
      <c r="C109" s="473">
        <f>IF(D93="","-",+C108+1)</f>
        <v>2023</v>
      </c>
      <c r="D109" s="347">
        <f>IF(F108+SUM(E$99:E108)=D$92,F108,D$92-SUM(E$99:E108))</f>
        <v>808994</v>
      </c>
      <c r="E109" s="485">
        <f t="shared" si="24"/>
        <v>25257</v>
      </c>
      <c r="F109" s="486">
        <f t="shared" si="25"/>
        <v>783737</v>
      </c>
      <c r="G109" s="486">
        <f t="shared" si="26"/>
        <v>796365.5</v>
      </c>
      <c r="H109" s="489">
        <f t="shared" si="27"/>
        <v>107373.45293671421</v>
      </c>
      <c r="I109" s="543">
        <f t="shared" si="28"/>
        <v>107373.45293671421</v>
      </c>
      <c r="J109" s="479">
        <f t="shared" si="23"/>
        <v>0</v>
      </c>
      <c r="K109" s="479"/>
      <c r="L109" s="488"/>
      <c r="M109" s="479">
        <f t="shared" si="29"/>
        <v>0</v>
      </c>
      <c r="N109" s="488"/>
      <c r="O109" s="479">
        <f t="shared" si="30"/>
        <v>0</v>
      </c>
      <c r="P109" s="479">
        <f t="shared" si="31"/>
        <v>0</v>
      </c>
    </row>
    <row r="110" spans="1:16" ht="12.5">
      <c r="B110" s="160" t="str">
        <f t="shared" si="22"/>
        <v/>
      </c>
      <c r="C110" s="473">
        <f>IF(D93="","-",+C109+1)</f>
        <v>2024</v>
      </c>
      <c r="D110" s="347">
        <f>IF(F109+SUM(E$99:E109)=D$92,F109,D$92-SUM(E$99:E109))</f>
        <v>783737</v>
      </c>
      <c r="E110" s="485">
        <f t="shared" si="24"/>
        <v>25257</v>
      </c>
      <c r="F110" s="486">
        <f t="shared" si="25"/>
        <v>758480</v>
      </c>
      <c r="G110" s="486">
        <f t="shared" si="26"/>
        <v>771108.5</v>
      </c>
      <c r="H110" s="489">
        <f t="shared" si="27"/>
        <v>104769.10197999573</v>
      </c>
      <c r="I110" s="543">
        <f t="shared" si="28"/>
        <v>104769.10197999573</v>
      </c>
      <c r="J110" s="479">
        <f t="shared" si="23"/>
        <v>0</v>
      </c>
      <c r="K110" s="479"/>
      <c r="L110" s="488"/>
      <c r="M110" s="479">
        <f t="shared" si="29"/>
        <v>0</v>
      </c>
      <c r="N110" s="488"/>
      <c r="O110" s="479">
        <f t="shared" si="30"/>
        <v>0</v>
      </c>
      <c r="P110" s="479">
        <f t="shared" si="31"/>
        <v>0</v>
      </c>
    </row>
    <row r="111" spans="1:16" ht="12.5">
      <c r="B111" s="160" t="str">
        <f t="shared" si="22"/>
        <v/>
      </c>
      <c r="C111" s="473">
        <f>IF(D93="","-",+C110+1)</f>
        <v>2025</v>
      </c>
      <c r="D111" s="347">
        <f>IF(F110+SUM(E$99:E110)=D$92,F110,D$92-SUM(E$99:E110))</f>
        <v>758480</v>
      </c>
      <c r="E111" s="485">
        <f t="shared" si="24"/>
        <v>25257</v>
      </c>
      <c r="F111" s="486">
        <f t="shared" si="25"/>
        <v>733223</v>
      </c>
      <c r="G111" s="486">
        <f t="shared" si="26"/>
        <v>745851.5</v>
      </c>
      <c r="H111" s="489">
        <f t="shared" si="27"/>
        <v>102164.75102327725</v>
      </c>
      <c r="I111" s="543">
        <f t="shared" si="28"/>
        <v>102164.75102327725</v>
      </c>
      <c r="J111" s="479">
        <f t="shared" si="23"/>
        <v>0</v>
      </c>
      <c r="K111" s="479"/>
      <c r="L111" s="488"/>
      <c r="M111" s="479">
        <f t="shared" si="29"/>
        <v>0</v>
      </c>
      <c r="N111" s="488"/>
      <c r="O111" s="479">
        <f t="shared" si="30"/>
        <v>0</v>
      </c>
      <c r="P111" s="479">
        <f t="shared" si="31"/>
        <v>0</v>
      </c>
    </row>
    <row r="112" spans="1:16" ht="12.5">
      <c r="B112" s="160" t="str">
        <f t="shared" si="22"/>
        <v/>
      </c>
      <c r="C112" s="473">
        <f>IF(D93="","-",+C111+1)</f>
        <v>2026</v>
      </c>
      <c r="D112" s="347">
        <f>IF(F111+SUM(E$99:E111)=D$92,F111,D$92-SUM(E$99:E111))</f>
        <v>733223</v>
      </c>
      <c r="E112" s="485">
        <f t="shared" si="24"/>
        <v>25257</v>
      </c>
      <c r="F112" s="486">
        <f t="shared" si="25"/>
        <v>707966</v>
      </c>
      <c r="G112" s="486">
        <f t="shared" si="26"/>
        <v>720594.5</v>
      </c>
      <c r="H112" s="489">
        <f t="shared" si="27"/>
        <v>99560.400066558766</v>
      </c>
      <c r="I112" s="543">
        <f t="shared" si="28"/>
        <v>99560.400066558766</v>
      </c>
      <c r="J112" s="479">
        <f t="shared" si="23"/>
        <v>0</v>
      </c>
      <c r="K112" s="479"/>
      <c r="L112" s="488"/>
      <c r="M112" s="479">
        <f t="shared" si="29"/>
        <v>0</v>
      </c>
      <c r="N112" s="488"/>
      <c r="O112" s="479">
        <f t="shared" si="30"/>
        <v>0</v>
      </c>
      <c r="P112" s="479">
        <f t="shared" si="31"/>
        <v>0</v>
      </c>
    </row>
    <row r="113" spans="2:16" ht="12.5">
      <c r="B113" s="160" t="str">
        <f t="shared" si="22"/>
        <v/>
      </c>
      <c r="C113" s="473">
        <f>IF(D93="","-",+C112+1)</f>
        <v>2027</v>
      </c>
      <c r="D113" s="347">
        <f>IF(F112+SUM(E$99:E112)=D$92,F112,D$92-SUM(E$99:E112))</f>
        <v>707966</v>
      </c>
      <c r="E113" s="485">
        <f t="shared" si="24"/>
        <v>25257</v>
      </c>
      <c r="F113" s="486">
        <f t="shared" si="25"/>
        <v>682709</v>
      </c>
      <c r="G113" s="486">
        <f t="shared" si="26"/>
        <v>695337.5</v>
      </c>
      <c r="H113" s="489">
        <f t="shared" si="27"/>
        <v>96956.049109840285</v>
      </c>
      <c r="I113" s="543">
        <f t="shared" si="28"/>
        <v>96956.049109840285</v>
      </c>
      <c r="J113" s="479">
        <f t="shared" si="23"/>
        <v>0</v>
      </c>
      <c r="K113" s="479"/>
      <c r="L113" s="488"/>
      <c r="M113" s="479">
        <f t="shared" si="29"/>
        <v>0</v>
      </c>
      <c r="N113" s="488"/>
      <c r="O113" s="479">
        <f t="shared" si="30"/>
        <v>0</v>
      </c>
      <c r="P113" s="479">
        <f t="shared" si="31"/>
        <v>0</v>
      </c>
    </row>
    <row r="114" spans="2:16" ht="12.5">
      <c r="B114" s="160" t="str">
        <f t="shared" si="22"/>
        <v/>
      </c>
      <c r="C114" s="473">
        <f>IF(D93="","-",+C113+1)</f>
        <v>2028</v>
      </c>
      <c r="D114" s="347">
        <f>IF(F113+SUM(E$99:E113)=D$92,F113,D$92-SUM(E$99:E113))</f>
        <v>682709</v>
      </c>
      <c r="E114" s="485">
        <f t="shared" si="24"/>
        <v>25257</v>
      </c>
      <c r="F114" s="486">
        <f t="shared" si="25"/>
        <v>657452</v>
      </c>
      <c r="G114" s="486">
        <f t="shared" si="26"/>
        <v>670080.5</v>
      </c>
      <c r="H114" s="489">
        <f t="shared" si="27"/>
        <v>94351.698153121804</v>
      </c>
      <c r="I114" s="543">
        <f t="shared" si="28"/>
        <v>94351.698153121804</v>
      </c>
      <c r="J114" s="479">
        <f t="shared" si="23"/>
        <v>0</v>
      </c>
      <c r="K114" s="479"/>
      <c r="L114" s="488"/>
      <c r="M114" s="479">
        <f t="shared" si="29"/>
        <v>0</v>
      </c>
      <c r="N114" s="488"/>
      <c r="O114" s="479">
        <f t="shared" si="30"/>
        <v>0</v>
      </c>
      <c r="P114" s="479">
        <f t="shared" si="31"/>
        <v>0</v>
      </c>
    </row>
    <row r="115" spans="2:16" ht="12.5">
      <c r="B115" s="160" t="str">
        <f t="shared" si="22"/>
        <v/>
      </c>
      <c r="C115" s="473">
        <f>IF(D93="","-",+C114+1)</f>
        <v>2029</v>
      </c>
      <c r="D115" s="347">
        <f>IF(F114+SUM(E$99:E114)=D$92,F114,D$92-SUM(E$99:E114))</f>
        <v>657452</v>
      </c>
      <c r="E115" s="485">
        <f t="shared" si="24"/>
        <v>25257</v>
      </c>
      <c r="F115" s="486">
        <f t="shared" si="25"/>
        <v>632195</v>
      </c>
      <c r="G115" s="486">
        <f t="shared" si="26"/>
        <v>644823.5</v>
      </c>
      <c r="H115" s="489">
        <f t="shared" si="27"/>
        <v>91747.347196403323</v>
      </c>
      <c r="I115" s="543">
        <f t="shared" si="28"/>
        <v>91747.347196403323</v>
      </c>
      <c r="J115" s="479">
        <f t="shared" si="23"/>
        <v>0</v>
      </c>
      <c r="K115" s="479"/>
      <c r="L115" s="488"/>
      <c r="M115" s="479">
        <f t="shared" si="29"/>
        <v>0</v>
      </c>
      <c r="N115" s="488"/>
      <c r="O115" s="479">
        <f t="shared" si="30"/>
        <v>0</v>
      </c>
      <c r="P115" s="479">
        <f t="shared" si="31"/>
        <v>0</v>
      </c>
    </row>
    <row r="116" spans="2:16" ht="12.5">
      <c r="B116" s="160" t="str">
        <f t="shared" si="22"/>
        <v/>
      </c>
      <c r="C116" s="473">
        <f>IF(D93="","-",+C115+1)</f>
        <v>2030</v>
      </c>
      <c r="D116" s="347">
        <f>IF(F115+SUM(E$99:E115)=D$92,F115,D$92-SUM(E$99:E115))</f>
        <v>632195</v>
      </c>
      <c r="E116" s="485">
        <f t="shared" si="24"/>
        <v>25257</v>
      </c>
      <c r="F116" s="486">
        <f t="shared" si="25"/>
        <v>606938</v>
      </c>
      <c r="G116" s="486">
        <f t="shared" si="26"/>
        <v>619566.5</v>
      </c>
      <c r="H116" s="489">
        <f t="shared" si="27"/>
        <v>89142.996239684842</v>
      </c>
      <c r="I116" s="543">
        <f t="shared" si="28"/>
        <v>89142.996239684842</v>
      </c>
      <c r="J116" s="479">
        <f t="shared" si="23"/>
        <v>0</v>
      </c>
      <c r="K116" s="479"/>
      <c r="L116" s="488"/>
      <c r="M116" s="479">
        <f t="shared" si="29"/>
        <v>0</v>
      </c>
      <c r="N116" s="488"/>
      <c r="O116" s="479">
        <f t="shared" si="30"/>
        <v>0</v>
      </c>
      <c r="P116" s="479">
        <f t="shared" si="31"/>
        <v>0</v>
      </c>
    </row>
    <row r="117" spans="2:16" ht="12.5">
      <c r="B117" s="160" t="str">
        <f t="shared" si="22"/>
        <v/>
      </c>
      <c r="C117" s="473">
        <f>IF(D93="","-",+C116+1)</f>
        <v>2031</v>
      </c>
      <c r="D117" s="347">
        <f>IF(F116+SUM(E$99:E116)=D$92,F116,D$92-SUM(E$99:E116))</f>
        <v>606938</v>
      </c>
      <c r="E117" s="485">
        <f t="shared" si="24"/>
        <v>25257</v>
      </c>
      <c r="F117" s="486">
        <f t="shared" si="25"/>
        <v>581681</v>
      </c>
      <c r="G117" s="486">
        <f t="shared" si="26"/>
        <v>594309.5</v>
      </c>
      <c r="H117" s="489">
        <f t="shared" si="27"/>
        <v>86538.645282966361</v>
      </c>
      <c r="I117" s="543">
        <f t="shared" si="28"/>
        <v>86538.645282966361</v>
      </c>
      <c r="J117" s="479">
        <f t="shared" si="23"/>
        <v>0</v>
      </c>
      <c r="K117" s="479"/>
      <c r="L117" s="488"/>
      <c r="M117" s="479">
        <f t="shared" si="29"/>
        <v>0</v>
      </c>
      <c r="N117" s="488"/>
      <c r="O117" s="479">
        <f t="shared" si="30"/>
        <v>0</v>
      </c>
      <c r="P117" s="479">
        <f t="shared" si="31"/>
        <v>0</v>
      </c>
    </row>
    <row r="118" spans="2:16" ht="12.5">
      <c r="B118" s="160" t="str">
        <f t="shared" si="22"/>
        <v/>
      </c>
      <c r="C118" s="473">
        <f>IF(D93="","-",+C117+1)</f>
        <v>2032</v>
      </c>
      <c r="D118" s="347">
        <f>IF(F117+SUM(E$99:E117)=D$92,F117,D$92-SUM(E$99:E117))</f>
        <v>581681</v>
      </c>
      <c r="E118" s="485">
        <f t="shared" si="24"/>
        <v>25257</v>
      </c>
      <c r="F118" s="486">
        <f t="shared" si="25"/>
        <v>556424</v>
      </c>
      <c r="G118" s="486">
        <f t="shared" si="26"/>
        <v>569052.5</v>
      </c>
      <c r="H118" s="489">
        <f t="shared" si="27"/>
        <v>83934.29432624788</v>
      </c>
      <c r="I118" s="543">
        <f t="shared" si="28"/>
        <v>83934.29432624788</v>
      </c>
      <c r="J118" s="479">
        <f t="shared" si="23"/>
        <v>0</v>
      </c>
      <c r="K118" s="479"/>
      <c r="L118" s="488"/>
      <c r="M118" s="479">
        <f t="shared" si="29"/>
        <v>0</v>
      </c>
      <c r="N118" s="488"/>
      <c r="O118" s="479">
        <f t="shared" si="30"/>
        <v>0</v>
      </c>
      <c r="P118" s="479">
        <f t="shared" si="31"/>
        <v>0</v>
      </c>
    </row>
    <row r="119" spans="2:16" ht="12.5">
      <c r="B119" s="160" t="str">
        <f t="shared" si="22"/>
        <v/>
      </c>
      <c r="C119" s="473">
        <f>IF(D93="","-",+C118+1)</f>
        <v>2033</v>
      </c>
      <c r="D119" s="347">
        <f>IF(F118+SUM(E$99:E118)=D$92,F118,D$92-SUM(E$99:E118))</f>
        <v>556424</v>
      </c>
      <c r="E119" s="485">
        <f t="shared" si="24"/>
        <v>25257</v>
      </c>
      <c r="F119" s="486">
        <f t="shared" si="25"/>
        <v>531167</v>
      </c>
      <c r="G119" s="486">
        <f t="shared" si="26"/>
        <v>543795.5</v>
      </c>
      <c r="H119" s="489">
        <f t="shared" si="27"/>
        <v>81329.943369529414</v>
      </c>
      <c r="I119" s="543">
        <f t="shared" si="28"/>
        <v>81329.943369529414</v>
      </c>
      <c r="J119" s="479">
        <f t="shared" si="23"/>
        <v>0</v>
      </c>
      <c r="K119" s="479"/>
      <c r="L119" s="488"/>
      <c r="M119" s="479">
        <f t="shared" si="29"/>
        <v>0</v>
      </c>
      <c r="N119" s="488"/>
      <c r="O119" s="479">
        <f t="shared" si="30"/>
        <v>0</v>
      </c>
      <c r="P119" s="479">
        <f t="shared" si="31"/>
        <v>0</v>
      </c>
    </row>
    <row r="120" spans="2:16" ht="12.5">
      <c r="B120" s="160" t="str">
        <f t="shared" si="22"/>
        <v/>
      </c>
      <c r="C120" s="473">
        <f>IF(D93="","-",+C119+1)</f>
        <v>2034</v>
      </c>
      <c r="D120" s="347">
        <f>IF(F119+SUM(E$99:E119)=D$92,F119,D$92-SUM(E$99:E119))</f>
        <v>531167</v>
      </c>
      <c r="E120" s="485">
        <f t="shared" si="24"/>
        <v>25257</v>
      </c>
      <c r="F120" s="486">
        <f t="shared" si="25"/>
        <v>505910</v>
      </c>
      <c r="G120" s="486">
        <f t="shared" si="26"/>
        <v>518538.5</v>
      </c>
      <c r="H120" s="489">
        <f t="shared" si="27"/>
        <v>78725.592412810918</v>
      </c>
      <c r="I120" s="543">
        <f t="shared" si="28"/>
        <v>78725.592412810918</v>
      </c>
      <c r="J120" s="479">
        <f t="shared" si="23"/>
        <v>0</v>
      </c>
      <c r="K120" s="479"/>
      <c r="L120" s="488"/>
      <c r="M120" s="479">
        <f t="shared" si="29"/>
        <v>0</v>
      </c>
      <c r="N120" s="488"/>
      <c r="O120" s="479">
        <f t="shared" si="30"/>
        <v>0</v>
      </c>
      <c r="P120" s="479">
        <f t="shared" si="31"/>
        <v>0</v>
      </c>
    </row>
    <row r="121" spans="2:16" ht="12.5">
      <c r="B121" s="160" t="str">
        <f t="shared" si="22"/>
        <v/>
      </c>
      <c r="C121" s="473">
        <f>IF(D93="","-",+C120+1)</f>
        <v>2035</v>
      </c>
      <c r="D121" s="347">
        <f>IF(F120+SUM(E$99:E120)=D$92,F120,D$92-SUM(E$99:E120))</f>
        <v>505910</v>
      </c>
      <c r="E121" s="485">
        <f t="shared" si="24"/>
        <v>25257</v>
      </c>
      <c r="F121" s="486">
        <f t="shared" si="25"/>
        <v>480653</v>
      </c>
      <c r="G121" s="486">
        <f t="shared" si="26"/>
        <v>493281.5</v>
      </c>
      <c r="H121" s="489">
        <f t="shared" si="27"/>
        <v>76121.241456092452</v>
      </c>
      <c r="I121" s="543">
        <f t="shared" si="28"/>
        <v>76121.241456092452</v>
      </c>
      <c r="J121" s="479">
        <f t="shared" si="23"/>
        <v>0</v>
      </c>
      <c r="K121" s="479"/>
      <c r="L121" s="488"/>
      <c r="M121" s="479">
        <f t="shared" si="29"/>
        <v>0</v>
      </c>
      <c r="N121" s="488"/>
      <c r="O121" s="479">
        <f t="shared" si="30"/>
        <v>0</v>
      </c>
      <c r="P121" s="479">
        <f t="shared" si="31"/>
        <v>0</v>
      </c>
    </row>
    <row r="122" spans="2:16" ht="12.5">
      <c r="B122" s="160" t="str">
        <f t="shared" si="22"/>
        <v/>
      </c>
      <c r="C122" s="473">
        <f>IF(D93="","-",+C121+1)</f>
        <v>2036</v>
      </c>
      <c r="D122" s="347">
        <f>IF(F121+SUM(E$99:E121)=D$92,F121,D$92-SUM(E$99:E121))</f>
        <v>480653</v>
      </c>
      <c r="E122" s="485">
        <f t="shared" si="24"/>
        <v>25257</v>
      </c>
      <c r="F122" s="486">
        <f t="shared" si="25"/>
        <v>455396</v>
      </c>
      <c r="G122" s="486">
        <f t="shared" si="26"/>
        <v>468024.5</v>
      </c>
      <c r="H122" s="489">
        <f t="shared" si="27"/>
        <v>73516.890499373956</v>
      </c>
      <c r="I122" s="543">
        <f t="shared" si="28"/>
        <v>73516.890499373956</v>
      </c>
      <c r="J122" s="479">
        <f t="shared" si="23"/>
        <v>0</v>
      </c>
      <c r="K122" s="479"/>
      <c r="L122" s="488"/>
      <c r="M122" s="479">
        <f t="shared" si="29"/>
        <v>0</v>
      </c>
      <c r="N122" s="488"/>
      <c r="O122" s="479">
        <f t="shared" si="30"/>
        <v>0</v>
      </c>
      <c r="P122" s="479">
        <f t="shared" si="31"/>
        <v>0</v>
      </c>
    </row>
    <row r="123" spans="2:16" ht="12.5">
      <c r="B123" s="160" t="str">
        <f t="shared" si="22"/>
        <v/>
      </c>
      <c r="C123" s="473">
        <f>IF(D93="","-",+C122+1)</f>
        <v>2037</v>
      </c>
      <c r="D123" s="347">
        <f>IF(F122+SUM(E$99:E122)=D$92,F122,D$92-SUM(E$99:E122))</f>
        <v>455396</v>
      </c>
      <c r="E123" s="485">
        <f t="shared" si="24"/>
        <v>25257</v>
      </c>
      <c r="F123" s="486">
        <f t="shared" si="25"/>
        <v>430139</v>
      </c>
      <c r="G123" s="486">
        <f t="shared" si="26"/>
        <v>442767.5</v>
      </c>
      <c r="H123" s="489">
        <f t="shared" si="27"/>
        <v>70912.53954265549</v>
      </c>
      <c r="I123" s="543">
        <f t="shared" si="28"/>
        <v>70912.53954265549</v>
      </c>
      <c r="J123" s="479">
        <f t="shared" si="23"/>
        <v>0</v>
      </c>
      <c r="K123" s="479"/>
      <c r="L123" s="488"/>
      <c r="M123" s="479">
        <f t="shared" si="29"/>
        <v>0</v>
      </c>
      <c r="N123" s="488"/>
      <c r="O123" s="479">
        <f t="shared" si="30"/>
        <v>0</v>
      </c>
      <c r="P123" s="479">
        <f t="shared" si="31"/>
        <v>0</v>
      </c>
    </row>
    <row r="124" spans="2:16" ht="12.5">
      <c r="B124" s="160" t="str">
        <f t="shared" si="22"/>
        <v/>
      </c>
      <c r="C124" s="473">
        <f>IF(D93="","-",+C123+1)</f>
        <v>2038</v>
      </c>
      <c r="D124" s="347">
        <f>IF(F123+SUM(E$99:E123)=D$92,F123,D$92-SUM(E$99:E123))</f>
        <v>430139</v>
      </c>
      <c r="E124" s="485">
        <f t="shared" si="24"/>
        <v>25257</v>
      </c>
      <c r="F124" s="486">
        <f t="shared" si="25"/>
        <v>404882</v>
      </c>
      <c r="G124" s="486">
        <f t="shared" si="26"/>
        <v>417510.5</v>
      </c>
      <c r="H124" s="489">
        <f t="shared" si="27"/>
        <v>68308.188585936994</v>
      </c>
      <c r="I124" s="543">
        <f t="shared" si="28"/>
        <v>68308.188585936994</v>
      </c>
      <c r="J124" s="479">
        <f t="shared" si="23"/>
        <v>0</v>
      </c>
      <c r="K124" s="479"/>
      <c r="L124" s="488"/>
      <c r="M124" s="479">
        <f t="shared" si="29"/>
        <v>0</v>
      </c>
      <c r="N124" s="488"/>
      <c r="O124" s="479">
        <f t="shared" si="30"/>
        <v>0</v>
      </c>
      <c r="P124" s="479">
        <f t="shared" si="31"/>
        <v>0</v>
      </c>
    </row>
    <row r="125" spans="2:16" ht="12.5">
      <c r="B125" s="160" t="str">
        <f t="shared" si="22"/>
        <v/>
      </c>
      <c r="C125" s="473">
        <f>IF(D93="","-",+C124+1)</f>
        <v>2039</v>
      </c>
      <c r="D125" s="347">
        <f>IF(F124+SUM(E$99:E124)=D$92,F124,D$92-SUM(E$99:E124))</f>
        <v>404882</v>
      </c>
      <c r="E125" s="485">
        <f t="shared" si="24"/>
        <v>25257</v>
      </c>
      <c r="F125" s="486">
        <f t="shared" si="25"/>
        <v>379625</v>
      </c>
      <c r="G125" s="486">
        <f t="shared" si="26"/>
        <v>392253.5</v>
      </c>
      <c r="H125" s="489">
        <f t="shared" si="27"/>
        <v>65703.837629218528</v>
      </c>
      <c r="I125" s="543">
        <f t="shared" si="28"/>
        <v>65703.837629218528</v>
      </c>
      <c r="J125" s="479">
        <f t="shared" si="23"/>
        <v>0</v>
      </c>
      <c r="K125" s="479"/>
      <c r="L125" s="488"/>
      <c r="M125" s="479">
        <f t="shared" si="29"/>
        <v>0</v>
      </c>
      <c r="N125" s="488"/>
      <c r="O125" s="479">
        <f t="shared" si="30"/>
        <v>0</v>
      </c>
      <c r="P125" s="479">
        <f t="shared" si="31"/>
        <v>0</v>
      </c>
    </row>
    <row r="126" spans="2:16" ht="12.5">
      <c r="B126" s="160" t="str">
        <f t="shared" si="22"/>
        <v/>
      </c>
      <c r="C126" s="473">
        <f>IF(D93="","-",+C125+1)</f>
        <v>2040</v>
      </c>
      <c r="D126" s="347">
        <f>IF(F125+SUM(E$99:E125)=D$92,F125,D$92-SUM(E$99:E125))</f>
        <v>379625</v>
      </c>
      <c r="E126" s="485">
        <f t="shared" si="24"/>
        <v>25257</v>
      </c>
      <c r="F126" s="486">
        <f t="shared" si="25"/>
        <v>354368</v>
      </c>
      <c r="G126" s="486">
        <f t="shared" si="26"/>
        <v>366996.5</v>
      </c>
      <c r="H126" s="489">
        <f t="shared" si="27"/>
        <v>63099.486672500047</v>
      </c>
      <c r="I126" s="543">
        <f t="shared" si="28"/>
        <v>63099.486672500047</v>
      </c>
      <c r="J126" s="479">
        <f t="shared" si="23"/>
        <v>0</v>
      </c>
      <c r="K126" s="479"/>
      <c r="L126" s="488"/>
      <c r="M126" s="479">
        <f t="shared" si="29"/>
        <v>0</v>
      </c>
      <c r="N126" s="488"/>
      <c r="O126" s="479">
        <f t="shared" si="30"/>
        <v>0</v>
      </c>
      <c r="P126" s="479">
        <f t="shared" si="31"/>
        <v>0</v>
      </c>
    </row>
    <row r="127" spans="2:16" ht="12.5">
      <c r="B127" s="160" t="str">
        <f t="shared" si="22"/>
        <v/>
      </c>
      <c r="C127" s="473">
        <f>IF(D93="","-",+C126+1)</f>
        <v>2041</v>
      </c>
      <c r="D127" s="347">
        <f>IF(F126+SUM(E$99:E126)=D$92,F126,D$92-SUM(E$99:E126))</f>
        <v>354368</v>
      </c>
      <c r="E127" s="485">
        <f t="shared" si="24"/>
        <v>25257</v>
      </c>
      <c r="F127" s="486">
        <f t="shared" si="25"/>
        <v>329111</v>
      </c>
      <c r="G127" s="486">
        <f t="shared" si="26"/>
        <v>341739.5</v>
      </c>
      <c r="H127" s="489">
        <f t="shared" si="27"/>
        <v>60495.135715781566</v>
      </c>
      <c r="I127" s="543">
        <f t="shared" si="28"/>
        <v>60495.135715781566</v>
      </c>
      <c r="J127" s="479">
        <f t="shared" si="23"/>
        <v>0</v>
      </c>
      <c r="K127" s="479"/>
      <c r="L127" s="488"/>
      <c r="M127" s="479">
        <f t="shared" si="29"/>
        <v>0</v>
      </c>
      <c r="N127" s="488"/>
      <c r="O127" s="479">
        <f t="shared" si="30"/>
        <v>0</v>
      </c>
      <c r="P127" s="479">
        <f t="shared" si="31"/>
        <v>0</v>
      </c>
    </row>
    <row r="128" spans="2:16" ht="12.5">
      <c r="B128" s="160" t="str">
        <f t="shared" si="22"/>
        <v/>
      </c>
      <c r="C128" s="473">
        <f>IF(D93="","-",+C127+1)</f>
        <v>2042</v>
      </c>
      <c r="D128" s="347">
        <f>IF(F127+SUM(E$99:E127)=D$92,F127,D$92-SUM(E$99:E127))</f>
        <v>329111</v>
      </c>
      <c r="E128" s="485">
        <f t="shared" si="24"/>
        <v>25257</v>
      </c>
      <c r="F128" s="486">
        <f t="shared" si="25"/>
        <v>303854</v>
      </c>
      <c r="G128" s="486">
        <f t="shared" si="26"/>
        <v>316482.5</v>
      </c>
      <c r="H128" s="489">
        <f t="shared" si="27"/>
        <v>57890.784759063084</v>
      </c>
      <c r="I128" s="543">
        <f t="shared" si="28"/>
        <v>57890.784759063084</v>
      </c>
      <c r="J128" s="479">
        <f t="shared" si="23"/>
        <v>0</v>
      </c>
      <c r="K128" s="479"/>
      <c r="L128" s="488"/>
      <c r="M128" s="479">
        <f t="shared" si="29"/>
        <v>0</v>
      </c>
      <c r="N128" s="488"/>
      <c r="O128" s="479">
        <f t="shared" si="30"/>
        <v>0</v>
      </c>
      <c r="P128" s="479">
        <f t="shared" si="31"/>
        <v>0</v>
      </c>
    </row>
    <row r="129" spans="2:16" ht="12.5">
      <c r="B129" s="160" t="str">
        <f t="shared" si="22"/>
        <v/>
      </c>
      <c r="C129" s="473">
        <f>IF(D93="","-",+C128+1)</f>
        <v>2043</v>
      </c>
      <c r="D129" s="347">
        <f>IF(F128+SUM(E$99:E128)=D$92,F128,D$92-SUM(E$99:E128))</f>
        <v>303854</v>
      </c>
      <c r="E129" s="485">
        <f t="shared" si="24"/>
        <v>25257</v>
      </c>
      <c r="F129" s="486">
        <f t="shared" si="25"/>
        <v>278597</v>
      </c>
      <c r="G129" s="486">
        <f t="shared" si="26"/>
        <v>291225.5</v>
      </c>
      <c r="H129" s="489">
        <f t="shared" si="27"/>
        <v>55286.433802344603</v>
      </c>
      <c r="I129" s="543">
        <f t="shared" si="28"/>
        <v>55286.433802344603</v>
      </c>
      <c r="J129" s="479">
        <f t="shared" si="23"/>
        <v>0</v>
      </c>
      <c r="K129" s="479"/>
      <c r="L129" s="488"/>
      <c r="M129" s="479">
        <f t="shared" si="29"/>
        <v>0</v>
      </c>
      <c r="N129" s="488"/>
      <c r="O129" s="479">
        <f t="shared" si="30"/>
        <v>0</v>
      </c>
      <c r="P129" s="479">
        <f t="shared" si="31"/>
        <v>0</v>
      </c>
    </row>
    <row r="130" spans="2:16" ht="12.5">
      <c r="B130" s="160" t="str">
        <f t="shared" si="22"/>
        <v/>
      </c>
      <c r="C130" s="473">
        <f>IF(D93="","-",+C129+1)</f>
        <v>2044</v>
      </c>
      <c r="D130" s="347">
        <f>IF(F129+SUM(E$99:E129)=D$92,F129,D$92-SUM(E$99:E129))</f>
        <v>278597</v>
      </c>
      <c r="E130" s="485">
        <f t="shared" si="24"/>
        <v>25257</v>
      </c>
      <c r="F130" s="486">
        <f t="shared" si="25"/>
        <v>253340</v>
      </c>
      <c r="G130" s="486">
        <f t="shared" si="26"/>
        <v>265968.5</v>
      </c>
      <c r="H130" s="489">
        <f t="shared" si="27"/>
        <v>52682.082845626122</v>
      </c>
      <c r="I130" s="543">
        <f t="shared" si="28"/>
        <v>52682.082845626122</v>
      </c>
      <c r="J130" s="479">
        <f t="shared" si="23"/>
        <v>0</v>
      </c>
      <c r="K130" s="479"/>
      <c r="L130" s="488"/>
      <c r="M130" s="479">
        <f t="shared" si="29"/>
        <v>0</v>
      </c>
      <c r="N130" s="488"/>
      <c r="O130" s="479">
        <f t="shared" si="30"/>
        <v>0</v>
      </c>
      <c r="P130" s="479">
        <f t="shared" si="31"/>
        <v>0</v>
      </c>
    </row>
    <row r="131" spans="2:16" ht="12.5">
      <c r="B131" s="160" t="str">
        <f t="shared" si="22"/>
        <v/>
      </c>
      <c r="C131" s="473">
        <f>IF(D93="","-",+C130+1)</f>
        <v>2045</v>
      </c>
      <c r="D131" s="347">
        <f>IF(F130+SUM(E$99:E130)=D$92,F130,D$92-SUM(E$99:E130))</f>
        <v>253340</v>
      </c>
      <c r="E131" s="485">
        <f t="shared" si="24"/>
        <v>25257</v>
      </c>
      <c r="F131" s="486">
        <f t="shared" si="25"/>
        <v>228083</v>
      </c>
      <c r="G131" s="486">
        <f t="shared" si="26"/>
        <v>240711.5</v>
      </c>
      <c r="H131" s="489">
        <f t="shared" si="27"/>
        <v>50077.731888907641</v>
      </c>
      <c r="I131" s="543">
        <f t="shared" si="28"/>
        <v>50077.731888907641</v>
      </c>
      <c r="J131" s="479">
        <f t="shared" si="23"/>
        <v>0</v>
      </c>
      <c r="K131" s="479"/>
      <c r="L131" s="488"/>
      <c r="M131" s="479">
        <f t="shared" ref="M131:M154" si="32">IF(L541&lt;&gt;0,+H541-L541,0)</f>
        <v>0</v>
      </c>
      <c r="N131" s="488"/>
      <c r="O131" s="479">
        <f t="shared" ref="O131:O154" si="33">IF(N541&lt;&gt;0,+I541-N541,0)</f>
        <v>0</v>
      </c>
      <c r="P131" s="479">
        <f t="shared" ref="P131:P154" si="34">+O541-M541</f>
        <v>0</v>
      </c>
    </row>
    <row r="132" spans="2:16" ht="12.5">
      <c r="B132" s="160" t="str">
        <f t="shared" si="22"/>
        <v/>
      </c>
      <c r="C132" s="473">
        <f>IF(D93="","-",+C131+1)</f>
        <v>2046</v>
      </c>
      <c r="D132" s="347">
        <f>IF(F131+SUM(E$99:E131)=D$92,F131,D$92-SUM(E$99:E131))</f>
        <v>228083</v>
      </c>
      <c r="E132" s="485">
        <f t="shared" si="24"/>
        <v>25257</v>
      </c>
      <c r="F132" s="486">
        <f t="shared" si="25"/>
        <v>202826</v>
      </c>
      <c r="G132" s="486">
        <f t="shared" si="26"/>
        <v>215454.5</v>
      </c>
      <c r="H132" s="489">
        <f t="shared" si="27"/>
        <v>47473.38093218916</v>
      </c>
      <c r="I132" s="543">
        <f t="shared" si="28"/>
        <v>47473.38093218916</v>
      </c>
      <c r="J132" s="479">
        <f t="shared" si="23"/>
        <v>0</v>
      </c>
      <c r="K132" s="479"/>
      <c r="L132" s="488"/>
      <c r="M132" s="479">
        <f t="shared" si="32"/>
        <v>0</v>
      </c>
      <c r="N132" s="488"/>
      <c r="O132" s="479">
        <f t="shared" si="33"/>
        <v>0</v>
      </c>
      <c r="P132" s="479">
        <f t="shared" si="34"/>
        <v>0</v>
      </c>
    </row>
    <row r="133" spans="2:16" ht="12.5">
      <c r="B133" s="160" t="str">
        <f t="shared" si="22"/>
        <v/>
      </c>
      <c r="C133" s="473">
        <f>IF(D93="","-",+C132+1)</f>
        <v>2047</v>
      </c>
      <c r="D133" s="347">
        <f>IF(F132+SUM(E$99:E132)=D$92,F132,D$92-SUM(E$99:E132))</f>
        <v>202826</v>
      </c>
      <c r="E133" s="485">
        <f t="shared" si="24"/>
        <v>25257</v>
      </c>
      <c r="F133" s="486">
        <f t="shared" si="25"/>
        <v>177569</v>
      </c>
      <c r="G133" s="486">
        <f t="shared" si="26"/>
        <v>190197.5</v>
      </c>
      <c r="H133" s="489">
        <f t="shared" si="27"/>
        <v>44869.029975470687</v>
      </c>
      <c r="I133" s="543">
        <f t="shared" si="28"/>
        <v>44869.029975470687</v>
      </c>
      <c r="J133" s="479">
        <f t="shared" si="23"/>
        <v>0</v>
      </c>
      <c r="K133" s="479"/>
      <c r="L133" s="488"/>
      <c r="M133" s="479">
        <f t="shared" si="32"/>
        <v>0</v>
      </c>
      <c r="N133" s="488"/>
      <c r="O133" s="479">
        <f t="shared" si="33"/>
        <v>0</v>
      </c>
      <c r="P133" s="479">
        <f t="shared" si="34"/>
        <v>0</v>
      </c>
    </row>
    <row r="134" spans="2:16" ht="12.5">
      <c r="B134" s="160" t="str">
        <f t="shared" si="22"/>
        <v/>
      </c>
      <c r="C134" s="473">
        <f>IF(D93="","-",+C133+1)</f>
        <v>2048</v>
      </c>
      <c r="D134" s="347">
        <f>IF(F133+SUM(E$99:E133)=D$92,F133,D$92-SUM(E$99:E133))</f>
        <v>177569</v>
      </c>
      <c r="E134" s="485">
        <f t="shared" si="24"/>
        <v>25257</v>
      </c>
      <c r="F134" s="486">
        <f t="shared" si="25"/>
        <v>152312</v>
      </c>
      <c r="G134" s="486">
        <f t="shared" si="26"/>
        <v>164940.5</v>
      </c>
      <c r="H134" s="489">
        <f t="shared" si="27"/>
        <v>42264.679018752206</v>
      </c>
      <c r="I134" s="543">
        <f t="shared" si="28"/>
        <v>42264.679018752206</v>
      </c>
      <c r="J134" s="479">
        <f t="shared" si="23"/>
        <v>0</v>
      </c>
      <c r="K134" s="479"/>
      <c r="L134" s="488"/>
      <c r="M134" s="479">
        <f t="shared" si="32"/>
        <v>0</v>
      </c>
      <c r="N134" s="488"/>
      <c r="O134" s="479">
        <f t="shared" si="33"/>
        <v>0</v>
      </c>
      <c r="P134" s="479">
        <f t="shared" si="34"/>
        <v>0</v>
      </c>
    </row>
    <row r="135" spans="2:16" ht="12.5">
      <c r="B135" s="160" t="str">
        <f t="shared" si="22"/>
        <v/>
      </c>
      <c r="C135" s="473">
        <f>IF(D93="","-",+C134+1)</f>
        <v>2049</v>
      </c>
      <c r="D135" s="347">
        <f>IF(F134+SUM(E$99:E134)=D$92,F134,D$92-SUM(E$99:E134))</f>
        <v>152312</v>
      </c>
      <c r="E135" s="485">
        <f t="shared" si="24"/>
        <v>25257</v>
      </c>
      <c r="F135" s="486">
        <f t="shared" si="25"/>
        <v>127055</v>
      </c>
      <c r="G135" s="486">
        <f t="shared" si="26"/>
        <v>139683.5</v>
      </c>
      <c r="H135" s="489">
        <f t="shared" si="27"/>
        <v>39660.328062033725</v>
      </c>
      <c r="I135" s="543">
        <f t="shared" si="28"/>
        <v>39660.328062033725</v>
      </c>
      <c r="J135" s="479">
        <f t="shared" si="23"/>
        <v>0</v>
      </c>
      <c r="K135" s="479"/>
      <c r="L135" s="488"/>
      <c r="M135" s="479">
        <f t="shared" si="32"/>
        <v>0</v>
      </c>
      <c r="N135" s="488"/>
      <c r="O135" s="479">
        <f t="shared" si="33"/>
        <v>0</v>
      </c>
      <c r="P135" s="479">
        <f t="shared" si="34"/>
        <v>0</v>
      </c>
    </row>
    <row r="136" spans="2:16" ht="12.5">
      <c r="B136" s="160" t="str">
        <f t="shared" si="22"/>
        <v/>
      </c>
      <c r="C136" s="473">
        <f>IF(D93="","-",+C135+1)</f>
        <v>2050</v>
      </c>
      <c r="D136" s="347">
        <f>IF(F135+SUM(E$99:E135)=D$92,F135,D$92-SUM(E$99:E135))</f>
        <v>127055</v>
      </c>
      <c r="E136" s="485">
        <f t="shared" si="24"/>
        <v>25257</v>
      </c>
      <c r="F136" s="486">
        <f t="shared" si="25"/>
        <v>101798</v>
      </c>
      <c r="G136" s="486">
        <f t="shared" si="26"/>
        <v>114426.5</v>
      </c>
      <c r="H136" s="489">
        <f t="shared" si="27"/>
        <v>37055.977105315244</v>
      </c>
      <c r="I136" s="543">
        <f t="shared" si="28"/>
        <v>37055.977105315244</v>
      </c>
      <c r="J136" s="479">
        <f t="shared" si="23"/>
        <v>0</v>
      </c>
      <c r="K136" s="479"/>
      <c r="L136" s="488"/>
      <c r="M136" s="479">
        <f t="shared" si="32"/>
        <v>0</v>
      </c>
      <c r="N136" s="488"/>
      <c r="O136" s="479">
        <f t="shared" si="33"/>
        <v>0</v>
      </c>
      <c r="P136" s="479">
        <f t="shared" si="34"/>
        <v>0</v>
      </c>
    </row>
    <row r="137" spans="2:16" ht="12.5">
      <c r="B137" s="160" t="str">
        <f t="shared" si="22"/>
        <v/>
      </c>
      <c r="C137" s="473">
        <f>IF(D93="","-",+C136+1)</f>
        <v>2051</v>
      </c>
      <c r="D137" s="347">
        <f>IF(F136+SUM(E$99:E136)=D$92,F136,D$92-SUM(E$99:E136))</f>
        <v>101798</v>
      </c>
      <c r="E137" s="485">
        <f t="shared" si="24"/>
        <v>25257</v>
      </c>
      <c r="F137" s="486">
        <f t="shared" si="25"/>
        <v>76541</v>
      </c>
      <c r="G137" s="486">
        <f t="shared" si="26"/>
        <v>89169.5</v>
      </c>
      <c r="H137" s="489">
        <f t="shared" si="27"/>
        <v>34451.62614859677</v>
      </c>
      <c r="I137" s="543">
        <f t="shared" si="28"/>
        <v>34451.62614859677</v>
      </c>
      <c r="J137" s="479">
        <f t="shared" si="23"/>
        <v>0</v>
      </c>
      <c r="K137" s="479"/>
      <c r="L137" s="488"/>
      <c r="M137" s="479">
        <f t="shared" si="32"/>
        <v>0</v>
      </c>
      <c r="N137" s="488"/>
      <c r="O137" s="479">
        <f t="shared" si="33"/>
        <v>0</v>
      </c>
      <c r="P137" s="479">
        <f t="shared" si="34"/>
        <v>0</v>
      </c>
    </row>
    <row r="138" spans="2:16" ht="12.5">
      <c r="B138" s="160" t="str">
        <f t="shared" si="22"/>
        <v/>
      </c>
      <c r="C138" s="473">
        <f>IF(D93="","-",+C137+1)</f>
        <v>2052</v>
      </c>
      <c r="D138" s="347">
        <f>IF(F137+SUM(E$99:E137)=D$92,F137,D$92-SUM(E$99:E137))</f>
        <v>76541</v>
      </c>
      <c r="E138" s="485">
        <f t="shared" si="24"/>
        <v>25257</v>
      </c>
      <c r="F138" s="486">
        <f t="shared" si="25"/>
        <v>51284</v>
      </c>
      <c r="G138" s="486">
        <f t="shared" si="26"/>
        <v>63912.5</v>
      </c>
      <c r="H138" s="489">
        <f t="shared" si="27"/>
        <v>31847.275191878285</v>
      </c>
      <c r="I138" s="543">
        <f t="shared" si="28"/>
        <v>31847.275191878285</v>
      </c>
      <c r="J138" s="479">
        <f t="shared" si="23"/>
        <v>0</v>
      </c>
      <c r="K138" s="479"/>
      <c r="L138" s="488"/>
      <c r="M138" s="479">
        <f t="shared" si="32"/>
        <v>0</v>
      </c>
      <c r="N138" s="488"/>
      <c r="O138" s="479">
        <f t="shared" si="33"/>
        <v>0</v>
      </c>
      <c r="P138" s="479">
        <f t="shared" si="34"/>
        <v>0</v>
      </c>
    </row>
    <row r="139" spans="2:16" ht="12.5">
      <c r="B139" s="160" t="str">
        <f t="shared" si="22"/>
        <v/>
      </c>
      <c r="C139" s="473">
        <f>IF(D93="","-",+C138+1)</f>
        <v>2053</v>
      </c>
      <c r="D139" s="347">
        <f>IF(F138+SUM(E$99:E138)=D$92,F138,D$92-SUM(E$99:E138))</f>
        <v>51284</v>
      </c>
      <c r="E139" s="485">
        <f t="shared" si="24"/>
        <v>25257</v>
      </c>
      <c r="F139" s="486">
        <f t="shared" si="25"/>
        <v>26027</v>
      </c>
      <c r="G139" s="486">
        <f t="shared" si="26"/>
        <v>38655.5</v>
      </c>
      <c r="H139" s="489">
        <f t="shared" si="27"/>
        <v>29242.924235159804</v>
      </c>
      <c r="I139" s="543">
        <f t="shared" si="28"/>
        <v>29242.924235159804</v>
      </c>
      <c r="J139" s="479">
        <f t="shared" si="23"/>
        <v>0</v>
      </c>
      <c r="K139" s="479"/>
      <c r="L139" s="488"/>
      <c r="M139" s="479">
        <f t="shared" si="32"/>
        <v>0</v>
      </c>
      <c r="N139" s="488"/>
      <c r="O139" s="479">
        <f t="shared" si="33"/>
        <v>0</v>
      </c>
      <c r="P139" s="479">
        <f t="shared" si="34"/>
        <v>0</v>
      </c>
    </row>
    <row r="140" spans="2:16" ht="12.5">
      <c r="B140" s="160" t="str">
        <f t="shared" si="22"/>
        <v/>
      </c>
      <c r="C140" s="473">
        <f>IF(D93="","-",+C139+1)</f>
        <v>2054</v>
      </c>
      <c r="D140" s="347">
        <f>IF(F139+SUM(E$99:E139)=D$92,F139,D$92-SUM(E$99:E139))</f>
        <v>26027</v>
      </c>
      <c r="E140" s="485">
        <f t="shared" si="24"/>
        <v>25257</v>
      </c>
      <c r="F140" s="486">
        <f t="shared" si="25"/>
        <v>770</v>
      </c>
      <c r="G140" s="486">
        <f t="shared" si="26"/>
        <v>13398.5</v>
      </c>
      <c r="H140" s="489">
        <f t="shared" si="27"/>
        <v>26638.573278441327</v>
      </c>
      <c r="I140" s="543">
        <f t="shared" si="28"/>
        <v>26638.573278441327</v>
      </c>
      <c r="J140" s="479">
        <f t="shared" si="23"/>
        <v>0</v>
      </c>
      <c r="K140" s="479"/>
      <c r="L140" s="488"/>
      <c r="M140" s="479">
        <f t="shared" si="32"/>
        <v>0</v>
      </c>
      <c r="N140" s="488"/>
      <c r="O140" s="479">
        <f t="shared" si="33"/>
        <v>0</v>
      </c>
      <c r="P140" s="479">
        <f t="shared" si="34"/>
        <v>0</v>
      </c>
    </row>
    <row r="141" spans="2:16" ht="12.5">
      <c r="B141" s="160" t="str">
        <f t="shared" si="22"/>
        <v/>
      </c>
      <c r="C141" s="473">
        <f>IF(D93="","-",+C140+1)</f>
        <v>2055</v>
      </c>
      <c r="D141" s="347">
        <f>IF(F140+SUM(E$99:E140)=D$92,F140,D$92-SUM(E$99:E140))</f>
        <v>770</v>
      </c>
      <c r="E141" s="485">
        <f t="shared" si="24"/>
        <v>770</v>
      </c>
      <c r="F141" s="486">
        <f t="shared" si="25"/>
        <v>0</v>
      </c>
      <c r="G141" s="486">
        <f t="shared" si="26"/>
        <v>385</v>
      </c>
      <c r="H141" s="489">
        <f t="shared" si="27"/>
        <v>809.69890004104263</v>
      </c>
      <c r="I141" s="543">
        <f t="shared" si="28"/>
        <v>809.69890004104263</v>
      </c>
      <c r="J141" s="479">
        <f t="shared" si="23"/>
        <v>0</v>
      </c>
      <c r="K141" s="479"/>
      <c r="L141" s="488"/>
      <c r="M141" s="479">
        <f t="shared" si="32"/>
        <v>0</v>
      </c>
      <c r="N141" s="488"/>
      <c r="O141" s="479">
        <f t="shared" si="33"/>
        <v>0</v>
      </c>
      <c r="P141" s="479">
        <f t="shared" si="34"/>
        <v>0</v>
      </c>
    </row>
    <row r="142" spans="2:16" ht="12.5">
      <c r="B142" s="160" t="str">
        <f t="shared" si="22"/>
        <v/>
      </c>
      <c r="C142" s="473">
        <f>IF(D93="","-",+C141+1)</f>
        <v>2056</v>
      </c>
      <c r="D142" s="347">
        <f>IF(F141+SUM(E$99:E141)=D$92,F141,D$92-SUM(E$99:E141))</f>
        <v>0</v>
      </c>
      <c r="E142" s="485">
        <f t="shared" si="24"/>
        <v>0</v>
      </c>
      <c r="F142" s="486">
        <f t="shared" si="25"/>
        <v>0</v>
      </c>
      <c r="G142" s="486">
        <f t="shared" si="26"/>
        <v>0</v>
      </c>
      <c r="H142" s="489">
        <f t="shared" si="27"/>
        <v>0</v>
      </c>
      <c r="I142" s="543">
        <f t="shared" si="28"/>
        <v>0</v>
      </c>
      <c r="J142" s="479">
        <f t="shared" si="23"/>
        <v>0</v>
      </c>
      <c r="K142" s="479"/>
      <c r="L142" s="488"/>
      <c r="M142" s="479">
        <f t="shared" si="32"/>
        <v>0</v>
      </c>
      <c r="N142" s="488"/>
      <c r="O142" s="479">
        <f t="shared" si="33"/>
        <v>0</v>
      </c>
      <c r="P142" s="479">
        <f t="shared" si="34"/>
        <v>0</v>
      </c>
    </row>
    <row r="143" spans="2:16" ht="12.5">
      <c r="B143" s="160" t="str">
        <f t="shared" si="22"/>
        <v/>
      </c>
      <c r="C143" s="473">
        <f>IF(D93="","-",+C142+1)</f>
        <v>2057</v>
      </c>
      <c r="D143" s="347">
        <f>IF(F142+SUM(E$99:E142)=D$92,F142,D$92-SUM(E$99:E142))</f>
        <v>0</v>
      </c>
      <c r="E143" s="485">
        <f t="shared" si="24"/>
        <v>0</v>
      </c>
      <c r="F143" s="486">
        <f t="shared" si="25"/>
        <v>0</v>
      </c>
      <c r="G143" s="486">
        <f t="shared" si="26"/>
        <v>0</v>
      </c>
      <c r="H143" s="489">
        <f t="shared" si="27"/>
        <v>0</v>
      </c>
      <c r="I143" s="543">
        <f t="shared" si="28"/>
        <v>0</v>
      </c>
      <c r="J143" s="479">
        <f t="shared" si="23"/>
        <v>0</v>
      </c>
      <c r="K143" s="479"/>
      <c r="L143" s="488"/>
      <c r="M143" s="479">
        <f t="shared" si="32"/>
        <v>0</v>
      </c>
      <c r="N143" s="488"/>
      <c r="O143" s="479">
        <f t="shared" si="33"/>
        <v>0</v>
      </c>
      <c r="P143" s="479">
        <f t="shared" si="34"/>
        <v>0</v>
      </c>
    </row>
    <row r="144" spans="2:16" ht="12.5">
      <c r="B144" s="160" t="str">
        <f t="shared" si="22"/>
        <v/>
      </c>
      <c r="C144" s="473">
        <f>IF(D93="","-",+C143+1)</f>
        <v>2058</v>
      </c>
      <c r="D144" s="347">
        <f>IF(F143+SUM(E$99:E143)=D$92,F143,D$92-SUM(E$99:E143))</f>
        <v>0</v>
      </c>
      <c r="E144" s="485">
        <f t="shared" si="24"/>
        <v>0</v>
      </c>
      <c r="F144" s="486">
        <f t="shared" si="25"/>
        <v>0</v>
      </c>
      <c r="G144" s="486">
        <f t="shared" si="26"/>
        <v>0</v>
      </c>
      <c r="H144" s="489">
        <f t="shared" si="27"/>
        <v>0</v>
      </c>
      <c r="I144" s="543">
        <f t="shared" si="28"/>
        <v>0</v>
      </c>
      <c r="J144" s="479">
        <f t="shared" si="23"/>
        <v>0</v>
      </c>
      <c r="K144" s="479"/>
      <c r="L144" s="488"/>
      <c r="M144" s="479">
        <f t="shared" si="32"/>
        <v>0</v>
      </c>
      <c r="N144" s="488"/>
      <c r="O144" s="479">
        <f t="shared" si="33"/>
        <v>0</v>
      </c>
      <c r="P144" s="479">
        <f t="shared" si="34"/>
        <v>0</v>
      </c>
    </row>
    <row r="145" spans="2:16" ht="12.5">
      <c r="B145" s="160" t="str">
        <f t="shared" si="22"/>
        <v/>
      </c>
      <c r="C145" s="473">
        <f>IF(D93="","-",+C144+1)</f>
        <v>2059</v>
      </c>
      <c r="D145" s="347">
        <f>IF(F144+SUM(E$99:E144)=D$92,F144,D$92-SUM(E$99:E144))</f>
        <v>0</v>
      </c>
      <c r="E145" s="485">
        <f t="shared" si="24"/>
        <v>0</v>
      </c>
      <c r="F145" s="486">
        <f t="shared" si="25"/>
        <v>0</v>
      </c>
      <c r="G145" s="486">
        <f t="shared" si="26"/>
        <v>0</v>
      </c>
      <c r="H145" s="489">
        <f t="shared" si="27"/>
        <v>0</v>
      </c>
      <c r="I145" s="543">
        <f t="shared" si="28"/>
        <v>0</v>
      </c>
      <c r="J145" s="479">
        <f t="shared" si="23"/>
        <v>0</v>
      </c>
      <c r="K145" s="479"/>
      <c r="L145" s="488"/>
      <c r="M145" s="479">
        <f t="shared" si="32"/>
        <v>0</v>
      </c>
      <c r="N145" s="488"/>
      <c r="O145" s="479">
        <f t="shared" si="33"/>
        <v>0</v>
      </c>
      <c r="P145" s="479">
        <f t="shared" si="34"/>
        <v>0</v>
      </c>
    </row>
    <row r="146" spans="2:16" ht="12.5">
      <c r="B146" s="160" t="str">
        <f t="shared" si="22"/>
        <v/>
      </c>
      <c r="C146" s="473">
        <f>IF(D93="","-",+C145+1)</f>
        <v>2060</v>
      </c>
      <c r="D146" s="347">
        <f>IF(F145+SUM(E$99:E145)=D$92,F145,D$92-SUM(E$99:E145))</f>
        <v>0</v>
      </c>
      <c r="E146" s="485">
        <f t="shared" si="24"/>
        <v>0</v>
      </c>
      <c r="F146" s="486">
        <f t="shared" si="25"/>
        <v>0</v>
      </c>
      <c r="G146" s="486">
        <f t="shared" si="26"/>
        <v>0</v>
      </c>
      <c r="H146" s="489">
        <f t="shared" si="27"/>
        <v>0</v>
      </c>
      <c r="I146" s="543">
        <f t="shared" si="28"/>
        <v>0</v>
      </c>
      <c r="J146" s="479">
        <f t="shared" si="23"/>
        <v>0</v>
      </c>
      <c r="K146" s="479"/>
      <c r="L146" s="488"/>
      <c r="M146" s="479">
        <f t="shared" si="32"/>
        <v>0</v>
      </c>
      <c r="N146" s="488"/>
      <c r="O146" s="479">
        <f t="shared" si="33"/>
        <v>0</v>
      </c>
      <c r="P146" s="479">
        <f t="shared" si="34"/>
        <v>0</v>
      </c>
    </row>
    <row r="147" spans="2:16" ht="12.5">
      <c r="B147" s="160" t="str">
        <f t="shared" si="22"/>
        <v/>
      </c>
      <c r="C147" s="473">
        <f>IF(D93="","-",+C146+1)</f>
        <v>2061</v>
      </c>
      <c r="D147" s="347">
        <f>IF(F146+SUM(E$99:E146)=D$92,F146,D$92-SUM(E$99:E146))</f>
        <v>0</v>
      </c>
      <c r="E147" s="485">
        <f t="shared" si="24"/>
        <v>0</v>
      </c>
      <c r="F147" s="486">
        <f t="shared" si="25"/>
        <v>0</v>
      </c>
      <c r="G147" s="486">
        <f t="shared" si="26"/>
        <v>0</v>
      </c>
      <c r="H147" s="489">
        <f t="shared" si="27"/>
        <v>0</v>
      </c>
      <c r="I147" s="543">
        <f t="shared" si="28"/>
        <v>0</v>
      </c>
      <c r="J147" s="479">
        <f t="shared" si="23"/>
        <v>0</v>
      </c>
      <c r="K147" s="479"/>
      <c r="L147" s="488"/>
      <c r="M147" s="479">
        <f t="shared" si="32"/>
        <v>0</v>
      </c>
      <c r="N147" s="488"/>
      <c r="O147" s="479">
        <f t="shared" si="33"/>
        <v>0</v>
      </c>
      <c r="P147" s="479">
        <f t="shared" si="34"/>
        <v>0</v>
      </c>
    </row>
    <row r="148" spans="2:16" ht="12.5">
      <c r="B148" s="160" t="str">
        <f t="shared" si="22"/>
        <v/>
      </c>
      <c r="C148" s="473">
        <f>IF(D93="","-",+C147+1)</f>
        <v>2062</v>
      </c>
      <c r="D148" s="347">
        <f>IF(F147+SUM(E$99:E147)=D$92,F147,D$92-SUM(E$99:E147))</f>
        <v>0</v>
      </c>
      <c r="E148" s="485">
        <f t="shared" si="24"/>
        <v>0</v>
      </c>
      <c r="F148" s="486">
        <f t="shared" si="25"/>
        <v>0</v>
      </c>
      <c r="G148" s="486">
        <f t="shared" si="26"/>
        <v>0</v>
      </c>
      <c r="H148" s="489">
        <f t="shared" si="27"/>
        <v>0</v>
      </c>
      <c r="I148" s="543">
        <f t="shared" si="28"/>
        <v>0</v>
      </c>
      <c r="J148" s="479">
        <f t="shared" si="23"/>
        <v>0</v>
      </c>
      <c r="K148" s="479"/>
      <c r="L148" s="488"/>
      <c r="M148" s="479">
        <f t="shared" si="32"/>
        <v>0</v>
      </c>
      <c r="N148" s="488"/>
      <c r="O148" s="479">
        <f t="shared" si="33"/>
        <v>0</v>
      </c>
      <c r="P148" s="479">
        <f t="shared" si="34"/>
        <v>0</v>
      </c>
    </row>
    <row r="149" spans="2:16" ht="12.5">
      <c r="B149" s="160" t="str">
        <f t="shared" si="22"/>
        <v/>
      </c>
      <c r="C149" s="473">
        <f>IF(D93="","-",+C148+1)</f>
        <v>2063</v>
      </c>
      <c r="D149" s="347">
        <f>IF(F148+SUM(E$99:E148)=D$92,F148,D$92-SUM(E$99:E148))</f>
        <v>0</v>
      </c>
      <c r="E149" s="485">
        <f t="shared" si="24"/>
        <v>0</v>
      </c>
      <c r="F149" s="486">
        <f t="shared" si="25"/>
        <v>0</v>
      </c>
      <c r="G149" s="486">
        <f t="shared" si="26"/>
        <v>0</v>
      </c>
      <c r="H149" s="489">
        <f t="shared" si="27"/>
        <v>0</v>
      </c>
      <c r="I149" s="543">
        <f t="shared" si="28"/>
        <v>0</v>
      </c>
      <c r="J149" s="479">
        <f t="shared" si="23"/>
        <v>0</v>
      </c>
      <c r="K149" s="479"/>
      <c r="L149" s="488"/>
      <c r="M149" s="479">
        <f t="shared" si="32"/>
        <v>0</v>
      </c>
      <c r="N149" s="488"/>
      <c r="O149" s="479">
        <f t="shared" si="33"/>
        <v>0</v>
      </c>
      <c r="P149" s="479">
        <f t="shared" si="34"/>
        <v>0</v>
      </c>
    </row>
    <row r="150" spans="2:16" ht="12.5">
      <c r="B150" s="160" t="str">
        <f t="shared" si="22"/>
        <v/>
      </c>
      <c r="C150" s="473">
        <f>IF(D93="","-",+C149+1)</f>
        <v>2064</v>
      </c>
      <c r="D150" s="347">
        <f>IF(F149+SUM(E$99:E149)=D$92,F149,D$92-SUM(E$99:E149))</f>
        <v>0</v>
      </c>
      <c r="E150" s="485">
        <f t="shared" si="24"/>
        <v>0</v>
      </c>
      <c r="F150" s="486">
        <f t="shared" si="25"/>
        <v>0</v>
      </c>
      <c r="G150" s="486">
        <f t="shared" si="26"/>
        <v>0</v>
      </c>
      <c r="H150" s="489">
        <f t="shared" si="27"/>
        <v>0</v>
      </c>
      <c r="I150" s="543">
        <f t="shared" si="28"/>
        <v>0</v>
      </c>
      <c r="J150" s="479">
        <f t="shared" si="23"/>
        <v>0</v>
      </c>
      <c r="K150" s="479"/>
      <c r="L150" s="488"/>
      <c r="M150" s="479">
        <f t="shared" si="32"/>
        <v>0</v>
      </c>
      <c r="N150" s="488"/>
      <c r="O150" s="479">
        <f t="shared" si="33"/>
        <v>0</v>
      </c>
      <c r="P150" s="479">
        <f t="shared" si="34"/>
        <v>0</v>
      </c>
    </row>
    <row r="151" spans="2:16" ht="12.5">
      <c r="B151" s="160" t="str">
        <f t="shared" si="22"/>
        <v/>
      </c>
      <c r="C151" s="473">
        <f>IF(D93="","-",+C150+1)</f>
        <v>2065</v>
      </c>
      <c r="D151" s="347">
        <f>IF(F150+SUM(E$99:E150)=D$92,F150,D$92-SUM(E$99:E150))</f>
        <v>0</v>
      </c>
      <c r="E151" s="485">
        <f t="shared" si="24"/>
        <v>0</v>
      </c>
      <c r="F151" s="486">
        <f t="shared" si="25"/>
        <v>0</v>
      </c>
      <c r="G151" s="486">
        <f t="shared" si="26"/>
        <v>0</v>
      </c>
      <c r="H151" s="489">
        <f t="shared" si="27"/>
        <v>0</v>
      </c>
      <c r="I151" s="543">
        <f t="shared" si="28"/>
        <v>0</v>
      </c>
      <c r="J151" s="479">
        <f t="shared" si="23"/>
        <v>0</v>
      </c>
      <c r="K151" s="479"/>
      <c r="L151" s="488"/>
      <c r="M151" s="479">
        <f t="shared" si="32"/>
        <v>0</v>
      </c>
      <c r="N151" s="488"/>
      <c r="O151" s="479">
        <f t="shared" si="33"/>
        <v>0</v>
      </c>
      <c r="P151" s="479">
        <f t="shared" si="34"/>
        <v>0</v>
      </c>
    </row>
    <row r="152" spans="2:16" ht="12.5">
      <c r="B152" s="160" t="str">
        <f t="shared" si="22"/>
        <v/>
      </c>
      <c r="C152" s="473">
        <f>IF(D93="","-",+C151+1)</f>
        <v>2066</v>
      </c>
      <c r="D152" s="347">
        <f>IF(F151+SUM(E$99:E151)=D$92,F151,D$92-SUM(E$99:E151))</f>
        <v>0</v>
      </c>
      <c r="E152" s="485">
        <f t="shared" si="24"/>
        <v>0</v>
      </c>
      <c r="F152" s="486">
        <f t="shared" si="25"/>
        <v>0</v>
      </c>
      <c r="G152" s="486">
        <f t="shared" si="26"/>
        <v>0</v>
      </c>
      <c r="H152" s="489">
        <f t="shared" si="27"/>
        <v>0</v>
      </c>
      <c r="I152" s="543">
        <f t="shared" si="28"/>
        <v>0</v>
      </c>
      <c r="J152" s="479">
        <f t="shared" si="23"/>
        <v>0</v>
      </c>
      <c r="K152" s="479"/>
      <c r="L152" s="488"/>
      <c r="M152" s="479">
        <f t="shared" si="32"/>
        <v>0</v>
      </c>
      <c r="N152" s="488"/>
      <c r="O152" s="479">
        <f t="shared" si="33"/>
        <v>0</v>
      </c>
      <c r="P152" s="479">
        <f t="shared" si="34"/>
        <v>0</v>
      </c>
    </row>
    <row r="153" spans="2:16" ht="12.5">
      <c r="B153" s="160" t="str">
        <f t="shared" si="22"/>
        <v/>
      </c>
      <c r="C153" s="473">
        <f>IF(D93="","-",+C152+1)</f>
        <v>2067</v>
      </c>
      <c r="D153" s="347">
        <f>IF(F152+SUM(E$99:E152)=D$92,F152,D$92-SUM(E$99:E152))</f>
        <v>0</v>
      </c>
      <c r="E153" s="485">
        <f t="shared" si="24"/>
        <v>0</v>
      </c>
      <c r="F153" s="486">
        <f t="shared" si="25"/>
        <v>0</v>
      </c>
      <c r="G153" s="486">
        <f t="shared" si="26"/>
        <v>0</v>
      </c>
      <c r="H153" s="489">
        <f t="shared" si="27"/>
        <v>0</v>
      </c>
      <c r="I153" s="543">
        <f t="shared" si="28"/>
        <v>0</v>
      </c>
      <c r="J153" s="479">
        <f t="shared" si="23"/>
        <v>0</v>
      </c>
      <c r="K153" s="479"/>
      <c r="L153" s="488"/>
      <c r="M153" s="479">
        <f t="shared" si="32"/>
        <v>0</v>
      </c>
      <c r="N153" s="488"/>
      <c r="O153" s="479">
        <f t="shared" si="33"/>
        <v>0</v>
      </c>
      <c r="P153" s="479">
        <f t="shared" si="34"/>
        <v>0</v>
      </c>
    </row>
    <row r="154" spans="2:16" ht="13" thickBot="1">
      <c r="B154" s="160" t="str">
        <f t="shared" si="22"/>
        <v/>
      </c>
      <c r="C154" s="490">
        <f>IF(D93="","-",+C153+1)</f>
        <v>2068</v>
      </c>
      <c r="D154" s="347">
        <f>IF(F153+SUM(E$99:E153)=D$92,F153,D$92-SUM(E$99:E153))</f>
        <v>0</v>
      </c>
      <c r="E154" s="485">
        <f t="shared" si="24"/>
        <v>0</v>
      </c>
      <c r="F154" s="486">
        <f t="shared" si="25"/>
        <v>0</v>
      </c>
      <c r="G154" s="486">
        <f t="shared" si="26"/>
        <v>0</v>
      </c>
      <c r="H154" s="489">
        <f t="shared" si="27"/>
        <v>0</v>
      </c>
      <c r="I154" s="543">
        <f t="shared" si="28"/>
        <v>0</v>
      </c>
      <c r="J154" s="479">
        <f t="shared" si="23"/>
        <v>0</v>
      </c>
      <c r="K154" s="479"/>
      <c r="L154" s="495"/>
      <c r="M154" s="496">
        <f t="shared" si="32"/>
        <v>0</v>
      </c>
      <c r="N154" s="495"/>
      <c r="O154" s="496">
        <f t="shared" si="33"/>
        <v>0</v>
      </c>
      <c r="P154" s="496">
        <f t="shared" si="34"/>
        <v>0</v>
      </c>
    </row>
    <row r="155" spans="2:16" ht="12.5">
      <c r="C155" s="347" t="s">
        <v>77</v>
      </c>
      <c r="D155" s="348"/>
      <c r="E155" s="348">
        <f>SUM(E99:E154)</f>
        <v>1035552</v>
      </c>
      <c r="F155" s="348"/>
      <c r="G155" s="348"/>
      <c r="H155" s="348">
        <f>SUM(H99:H154)</f>
        <v>3415622.4872250147</v>
      </c>
      <c r="I155" s="348">
        <f>SUM(I99:I154)</f>
        <v>3415622.4872250147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tabSelected="1" view="pageBreakPreview" topLeftCell="E1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15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279098.59002601594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279098.59002601594</v>
      </c>
      <c r="O6" s="233"/>
      <c r="P6" s="233"/>
    </row>
    <row r="7" spans="1:16" ht="13.5" thickBot="1">
      <c r="C7" s="432" t="s">
        <v>46</v>
      </c>
      <c r="D7" s="600" t="s">
        <v>253</v>
      </c>
      <c r="E7" s="601"/>
      <c r="F7" s="601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252</v>
      </c>
      <c r="E9" s="578" t="s">
        <v>261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2246628.5699999998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2014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49925.079333333328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2014</v>
      </c>
      <c r="D17" s="585">
        <v>2295000</v>
      </c>
      <c r="E17" s="609">
        <v>36778.846153846156</v>
      </c>
      <c r="F17" s="585">
        <v>2258221.153846154</v>
      </c>
      <c r="G17" s="609">
        <v>347642.78736560291</v>
      </c>
      <c r="H17" s="588">
        <v>347642.78736560291</v>
      </c>
      <c r="I17" s="476">
        <v>0</v>
      </c>
      <c r="J17" s="476"/>
      <c r="K17" s="477">
        <f t="shared" ref="K17:K22" si="0">G17</f>
        <v>347642.78736560291</v>
      </c>
      <c r="L17" s="604">
        <f t="shared" ref="L17:L22" si="1">IF(K17&lt;&gt;0,+G17-K17,0)</f>
        <v>0</v>
      </c>
      <c r="M17" s="477">
        <f t="shared" ref="M17:M22" si="2">H17</f>
        <v>347642.78736560291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2015</v>
      </c>
      <c r="D18" s="585">
        <v>2258221.153846154</v>
      </c>
      <c r="E18" s="586">
        <v>43204.395576923074</v>
      </c>
      <c r="F18" s="585">
        <v>2215016.7582692308</v>
      </c>
      <c r="G18" s="586">
        <v>348592.42580485216</v>
      </c>
      <c r="H18" s="588">
        <v>348592.42580485216</v>
      </c>
      <c r="I18" s="476">
        <v>0</v>
      </c>
      <c r="J18" s="476"/>
      <c r="K18" s="477">
        <f t="shared" si="0"/>
        <v>348592.42580485216</v>
      </c>
      <c r="L18" s="604">
        <f t="shared" si="1"/>
        <v>0</v>
      </c>
      <c r="M18" s="477">
        <f t="shared" si="2"/>
        <v>348592.42580485216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2016</v>
      </c>
      <c r="D19" s="585">
        <v>2166645.3282692307</v>
      </c>
      <c r="E19" s="586">
        <v>43204.395576923074</v>
      </c>
      <c r="F19" s="585">
        <v>2123440.9326923075</v>
      </c>
      <c r="G19" s="586">
        <v>321714.3955769231</v>
      </c>
      <c r="H19" s="588">
        <v>321714.3955769231</v>
      </c>
      <c r="I19" s="476">
        <f>H19-G19</f>
        <v>0</v>
      </c>
      <c r="J19" s="476"/>
      <c r="K19" s="477">
        <f t="shared" si="0"/>
        <v>321714.3955769231</v>
      </c>
      <c r="L19" s="604">
        <f t="shared" si="1"/>
        <v>0</v>
      </c>
      <c r="M19" s="477">
        <f t="shared" si="2"/>
        <v>321714.3955769231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3">IF(D20=F19,"","IU")</f>
        <v/>
      </c>
      <c r="C20" s="473">
        <f>IF(D11="","-",+C19+1)</f>
        <v>2017</v>
      </c>
      <c r="D20" s="585">
        <v>2123440.9326923075</v>
      </c>
      <c r="E20" s="586">
        <v>48839.751521739126</v>
      </c>
      <c r="F20" s="585">
        <v>2074601.1811705683</v>
      </c>
      <c r="G20" s="586">
        <v>312854.75152173912</v>
      </c>
      <c r="H20" s="588">
        <v>312854.75152173912</v>
      </c>
      <c r="I20" s="476">
        <f t="shared" ref="I20:I72" si="4">H20-G20</f>
        <v>0</v>
      </c>
      <c r="J20" s="476"/>
      <c r="K20" s="477">
        <f t="shared" si="0"/>
        <v>312854.75152173912</v>
      </c>
      <c r="L20" s="604">
        <f t="shared" si="1"/>
        <v>0</v>
      </c>
      <c r="M20" s="477">
        <f t="shared" si="2"/>
        <v>312854.75152173912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3"/>
        <v/>
      </c>
      <c r="C21" s="473">
        <f>IF(D11="","-",+C20+1)</f>
        <v>2018</v>
      </c>
      <c r="D21" s="585">
        <v>2074601.1811705683</v>
      </c>
      <c r="E21" s="586">
        <v>49925.079333333328</v>
      </c>
      <c r="F21" s="585">
        <v>2024676.101837235</v>
      </c>
      <c r="G21" s="586">
        <v>295387.63187355472</v>
      </c>
      <c r="H21" s="588">
        <v>295387.63187355472</v>
      </c>
      <c r="I21" s="476">
        <f t="shared" si="4"/>
        <v>0</v>
      </c>
      <c r="J21" s="476"/>
      <c r="K21" s="477">
        <f t="shared" si="0"/>
        <v>295387.63187355472</v>
      </c>
      <c r="L21" s="604">
        <f t="shared" si="1"/>
        <v>0</v>
      </c>
      <c r="M21" s="477">
        <f t="shared" si="2"/>
        <v>295387.63187355472</v>
      </c>
      <c r="N21" s="479">
        <f>IF(M21&lt;&gt;0,+H21-M21,0)</f>
        <v>0</v>
      </c>
      <c r="O21" s="476">
        <f>+N21-L21</f>
        <v>0</v>
      </c>
      <c r="P21" s="243"/>
    </row>
    <row r="22" spans="2:16" ht="12.5">
      <c r="B22" s="160" t="str">
        <f t="shared" si="3"/>
        <v/>
      </c>
      <c r="C22" s="473">
        <f>IF(D11="","-",+C21+1)</f>
        <v>2019</v>
      </c>
      <c r="D22" s="585">
        <v>2024676.101837235</v>
      </c>
      <c r="E22" s="586">
        <v>56165.714249999997</v>
      </c>
      <c r="F22" s="585">
        <v>1968510.3875872351</v>
      </c>
      <c r="G22" s="586">
        <v>279098.59002601594</v>
      </c>
      <c r="H22" s="588">
        <v>279098.59002601594</v>
      </c>
      <c r="I22" s="476">
        <f t="shared" si="4"/>
        <v>0</v>
      </c>
      <c r="J22" s="476"/>
      <c r="K22" s="477">
        <f t="shared" si="0"/>
        <v>279098.59002601594</v>
      </c>
      <c r="L22" s="604">
        <f t="shared" si="1"/>
        <v>0</v>
      </c>
      <c r="M22" s="477">
        <f t="shared" si="2"/>
        <v>279098.59002601594</v>
      </c>
      <c r="N22" s="479">
        <f t="shared" ref="N22:N72" si="5">IF(M22&lt;&gt;0,+H22-M22,0)</f>
        <v>0</v>
      </c>
      <c r="O22" s="479">
        <f t="shared" ref="O22:O72" si="6">+N22-L22</f>
        <v>0</v>
      </c>
      <c r="P22" s="243"/>
    </row>
    <row r="23" spans="2:16" ht="12.5">
      <c r="B23" s="160" t="str">
        <f t="shared" si="3"/>
        <v/>
      </c>
      <c r="C23" s="473">
        <f>IF(D11="","-",+C22+1)</f>
        <v>2020</v>
      </c>
      <c r="D23" s="486">
        <f>IF(F22+SUM(E$17:E22)=D$10,F22,D$10-SUM(E$17:E22))</f>
        <v>1968510.3875872351</v>
      </c>
      <c r="E23" s="485">
        <f t="shared" ref="E23:E72" si="7">IF(+$I$14&lt;F22,$I$14,D23)</f>
        <v>49925.079333333328</v>
      </c>
      <c r="F23" s="486">
        <f t="shared" ref="F23:F72" si="8">+D23-E23</f>
        <v>1918585.3082539018</v>
      </c>
      <c r="G23" s="487">
        <f t="shared" ref="G23:G72" si="9">ROUND(I$12*F23,0)+E23</f>
        <v>309578.0793333333</v>
      </c>
      <c r="H23" s="456">
        <f t="shared" ref="H23:H72" si="10">ROUND(I$13*F23,0)+E23</f>
        <v>309578.0793333333</v>
      </c>
      <c r="I23" s="476">
        <f t="shared" si="4"/>
        <v>0</v>
      </c>
      <c r="J23" s="476"/>
      <c r="K23" s="488"/>
      <c r="L23" s="479">
        <f t="shared" ref="L23:L72" si="11">IF(K23&lt;&gt;0,+G23-K23,0)</f>
        <v>0</v>
      </c>
      <c r="M23" s="488"/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3"/>
        <v/>
      </c>
      <c r="C24" s="473">
        <f>IF(D11="","-",+C23+1)</f>
        <v>2021</v>
      </c>
      <c r="D24" s="486">
        <f>IF(F23+SUM(E$17:E23)=D$10,F23,D$10-SUM(E$17:E23))</f>
        <v>1918585.3082539018</v>
      </c>
      <c r="E24" s="485">
        <f t="shared" si="7"/>
        <v>49925.079333333328</v>
      </c>
      <c r="F24" s="486">
        <f t="shared" si="8"/>
        <v>1868660.2289205685</v>
      </c>
      <c r="G24" s="487">
        <f t="shared" si="9"/>
        <v>302821.0793333333</v>
      </c>
      <c r="H24" s="456">
        <f t="shared" si="10"/>
        <v>302821.0793333333</v>
      </c>
      <c r="I24" s="476">
        <f t="shared" si="4"/>
        <v>0</v>
      </c>
      <c r="J24" s="476"/>
      <c r="K24" s="488"/>
      <c r="L24" s="479">
        <f t="shared" si="11"/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3"/>
        <v/>
      </c>
      <c r="C25" s="473">
        <f>IF(D11="","-",+C24+1)</f>
        <v>2022</v>
      </c>
      <c r="D25" s="486">
        <f>IF(F24+SUM(E$17:E24)=D$10,F24,D$10-SUM(E$17:E24))</f>
        <v>1868660.2289205685</v>
      </c>
      <c r="E25" s="485">
        <f t="shared" si="7"/>
        <v>49925.079333333328</v>
      </c>
      <c r="F25" s="486">
        <f t="shared" si="8"/>
        <v>1818735.1495872352</v>
      </c>
      <c r="G25" s="487">
        <f t="shared" si="9"/>
        <v>296064.0793333333</v>
      </c>
      <c r="H25" s="456">
        <f t="shared" si="10"/>
        <v>296064.0793333333</v>
      </c>
      <c r="I25" s="476">
        <f t="shared" si="4"/>
        <v>0</v>
      </c>
      <c r="J25" s="476"/>
      <c r="K25" s="488"/>
      <c r="L25" s="479">
        <f t="shared" si="11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3"/>
        <v/>
      </c>
      <c r="C26" s="473">
        <f>IF(D11="","-",+C25+1)</f>
        <v>2023</v>
      </c>
      <c r="D26" s="486">
        <f>IF(F25+SUM(E$17:E25)=D$10,F25,D$10-SUM(E$17:E25))</f>
        <v>1818735.1495872352</v>
      </c>
      <c r="E26" s="485">
        <f t="shared" si="7"/>
        <v>49925.079333333328</v>
      </c>
      <c r="F26" s="486">
        <f t="shared" si="8"/>
        <v>1768810.0702539019</v>
      </c>
      <c r="G26" s="487">
        <f t="shared" si="9"/>
        <v>289308.0793333333</v>
      </c>
      <c r="H26" s="456">
        <f t="shared" si="10"/>
        <v>289308.0793333333</v>
      </c>
      <c r="I26" s="476">
        <f t="shared" si="4"/>
        <v>0</v>
      </c>
      <c r="J26" s="476"/>
      <c r="K26" s="488"/>
      <c r="L26" s="479">
        <f t="shared" si="11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3"/>
        <v/>
      </c>
      <c r="C27" s="473">
        <f>IF(D11="","-",+C26+1)</f>
        <v>2024</v>
      </c>
      <c r="D27" s="486">
        <f>IF(F26+SUM(E$17:E26)=D$10,F26,D$10-SUM(E$17:E26))</f>
        <v>1768810.0702539019</v>
      </c>
      <c r="E27" s="485">
        <f t="shared" si="7"/>
        <v>49925.079333333328</v>
      </c>
      <c r="F27" s="486">
        <f t="shared" si="8"/>
        <v>1718884.9909205686</v>
      </c>
      <c r="G27" s="487">
        <f t="shared" si="9"/>
        <v>282551.0793333333</v>
      </c>
      <c r="H27" s="456">
        <f t="shared" si="10"/>
        <v>282551.0793333333</v>
      </c>
      <c r="I27" s="476">
        <f t="shared" si="4"/>
        <v>0</v>
      </c>
      <c r="J27" s="476"/>
      <c r="K27" s="488"/>
      <c r="L27" s="479">
        <f t="shared" si="11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3"/>
        <v/>
      </c>
      <c r="C28" s="473">
        <f>IF(D11="","-",+C27+1)</f>
        <v>2025</v>
      </c>
      <c r="D28" s="486">
        <f>IF(F27+SUM(E$17:E27)=D$10,F27,D$10-SUM(E$17:E27))</f>
        <v>1718884.9909205686</v>
      </c>
      <c r="E28" s="485">
        <f t="shared" si="7"/>
        <v>49925.079333333328</v>
      </c>
      <c r="F28" s="486">
        <f t="shared" si="8"/>
        <v>1668959.9115872353</v>
      </c>
      <c r="G28" s="487">
        <f t="shared" si="9"/>
        <v>275794.0793333333</v>
      </c>
      <c r="H28" s="456">
        <f t="shared" si="10"/>
        <v>275794.0793333333</v>
      </c>
      <c r="I28" s="476">
        <f t="shared" si="4"/>
        <v>0</v>
      </c>
      <c r="J28" s="476"/>
      <c r="K28" s="488"/>
      <c r="L28" s="479">
        <f t="shared" si="11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3"/>
        <v/>
      </c>
      <c r="C29" s="473">
        <f>IF(D11="","-",+C28+1)</f>
        <v>2026</v>
      </c>
      <c r="D29" s="486">
        <f>IF(F28+SUM(E$17:E28)=D$10,F28,D$10-SUM(E$17:E28))</f>
        <v>1668959.9115872353</v>
      </c>
      <c r="E29" s="485">
        <f t="shared" si="7"/>
        <v>49925.079333333328</v>
      </c>
      <c r="F29" s="486">
        <f t="shared" si="8"/>
        <v>1619034.832253902</v>
      </c>
      <c r="G29" s="487">
        <f t="shared" si="9"/>
        <v>269038.0793333333</v>
      </c>
      <c r="H29" s="456">
        <f t="shared" si="10"/>
        <v>269038.0793333333</v>
      </c>
      <c r="I29" s="476">
        <f t="shared" si="4"/>
        <v>0</v>
      </c>
      <c r="J29" s="476"/>
      <c r="K29" s="488"/>
      <c r="L29" s="479">
        <f t="shared" si="11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3"/>
        <v/>
      </c>
      <c r="C30" s="473">
        <f>IF(D11="","-",+C29+1)</f>
        <v>2027</v>
      </c>
      <c r="D30" s="486">
        <f>IF(F29+SUM(E$17:E29)=D$10,F29,D$10-SUM(E$17:E29))</f>
        <v>1619034.832253902</v>
      </c>
      <c r="E30" s="485">
        <f t="shared" si="7"/>
        <v>49925.079333333328</v>
      </c>
      <c r="F30" s="486">
        <f t="shared" si="8"/>
        <v>1569109.7529205687</v>
      </c>
      <c r="G30" s="487">
        <f t="shared" si="9"/>
        <v>262281.0793333333</v>
      </c>
      <c r="H30" s="456">
        <f t="shared" si="10"/>
        <v>262281.0793333333</v>
      </c>
      <c r="I30" s="476">
        <f t="shared" si="4"/>
        <v>0</v>
      </c>
      <c r="J30" s="476"/>
      <c r="K30" s="488"/>
      <c r="L30" s="479">
        <f t="shared" si="11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3"/>
        <v/>
      </c>
      <c r="C31" s="473">
        <f>IF(D11="","-",+C30+1)</f>
        <v>2028</v>
      </c>
      <c r="D31" s="486">
        <f>IF(F30+SUM(E$17:E30)=D$10,F30,D$10-SUM(E$17:E30))</f>
        <v>1569109.7529205687</v>
      </c>
      <c r="E31" s="485">
        <f t="shared" si="7"/>
        <v>49925.079333333328</v>
      </c>
      <c r="F31" s="486">
        <f t="shared" si="8"/>
        <v>1519184.6735872354</v>
      </c>
      <c r="G31" s="487">
        <f t="shared" si="9"/>
        <v>255524.07933333333</v>
      </c>
      <c r="H31" s="456">
        <f t="shared" si="10"/>
        <v>255524.07933333333</v>
      </c>
      <c r="I31" s="476">
        <f t="shared" si="4"/>
        <v>0</v>
      </c>
      <c r="J31" s="476"/>
      <c r="K31" s="488"/>
      <c r="L31" s="479">
        <f t="shared" si="11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3"/>
        <v/>
      </c>
      <c r="C32" s="473">
        <f>IF(D11="","-",+C31+1)</f>
        <v>2029</v>
      </c>
      <c r="D32" s="486">
        <f>IF(F31+SUM(E$17:E31)=D$10,F31,D$10-SUM(E$17:E31))</f>
        <v>1519184.6735872354</v>
      </c>
      <c r="E32" s="485">
        <f t="shared" si="7"/>
        <v>49925.079333333328</v>
      </c>
      <c r="F32" s="486">
        <f t="shared" si="8"/>
        <v>1469259.5942539021</v>
      </c>
      <c r="G32" s="487">
        <f t="shared" si="9"/>
        <v>248768.07933333333</v>
      </c>
      <c r="H32" s="456">
        <f t="shared" si="10"/>
        <v>248768.07933333333</v>
      </c>
      <c r="I32" s="476">
        <f t="shared" si="4"/>
        <v>0</v>
      </c>
      <c r="J32" s="476"/>
      <c r="K32" s="488"/>
      <c r="L32" s="479">
        <f t="shared" si="11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3"/>
        <v/>
      </c>
      <c r="C33" s="473">
        <f>IF(D11="","-",+C32+1)</f>
        <v>2030</v>
      </c>
      <c r="D33" s="486">
        <f>IF(F32+SUM(E$17:E32)=D$10,F32,D$10-SUM(E$17:E32))</f>
        <v>1469259.5942539021</v>
      </c>
      <c r="E33" s="485">
        <f t="shared" si="7"/>
        <v>49925.079333333328</v>
      </c>
      <c r="F33" s="486">
        <f t="shared" si="8"/>
        <v>1419334.5149205688</v>
      </c>
      <c r="G33" s="487">
        <f t="shared" si="9"/>
        <v>242011.07933333333</v>
      </c>
      <c r="H33" s="456">
        <f t="shared" si="10"/>
        <v>242011.07933333333</v>
      </c>
      <c r="I33" s="476">
        <f t="shared" si="4"/>
        <v>0</v>
      </c>
      <c r="J33" s="476"/>
      <c r="K33" s="488"/>
      <c r="L33" s="479">
        <f t="shared" si="11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3"/>
        <v/>
      </c>
      <c r="C34" s="473">
        <f>IF(D11="","-",+C33+1)</f>
        <v>2031</v>
      </c>
      <c r="D34" s="486">
        <f>IF(F33+SUM(E$17:E33)=D$10,F33,D$10-SUM(E$17:E33))</f>
        <v>1419334.5149205688</v>
      </c>
      <c r="E34" s="485">
        <f t="shared" si="7"/>
        <v>49925.079333333328</v>
      </c>
      <c r="F34" s="486">
        <f t="shared" si="8"/>
        <v>1369409.4355872355</v>
      </c>
      <c r="G34" s="487">
        <f t="shared" si="9"/>
        <v>235255.07933333333</v>
      </c>
      <c r="H34" s="456">
        <f t="shared" si="10"/>
        <v>235255.07933333333</v>
      </c>
      <c r="I34" s="476">
        <f t="shared" si="4"/>
        <v>0</v>
      </c>
      <c r="J34" s="476"/>
      <c r="K34" s="488"/>
      <c r="L34" s="479">
        <f t="shared" si="11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3"/>
        <v/>
      </c>
      <c r="C35" s="473">
        <f>IF(D11="","-",+C34+1)</f>
        <v>2032</v>
      </c>
      <c r="D35" s="486">
        <f>IF(F34+SUM(E$17:E34)=D$10,F34,D$10-SUM(E$17:E34))</f>
        <v>1369409.4355872355</v>
      </c>
      <c r="E35" s="485">
        <f t="shared" si="7"/>
        <v>49925.079333333328</v>
      </c>
      <c r="F35" s="486">
        <f t="shared" si="8"/>
        <v>1319484.3562539022</v>
      </c>
      <c r="G35" s="487">
        <f t="shared" si="9"/>
        <v>228498.07933333333</v>
      </c>
      <c r="H35" s="456">
        <f t="shared" si="10"/>
        <v>228498.07933333333</v>
      </c>
      <c r="I35" s="476">
        <f t="shared" si="4"/>
        <v>0</v>
      </c>
      <c r="J35" s="476"/>
      <c r="K35" s="488"/>
      <c r="L35" s="479">
        <f t="shared" si="11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3"/>
        <v/>
      </c>
      <c r="C36" s="473">
        <f>IF(D11="","-",+C35+1)</f>
        <v>2033</v>
      </c>
      <c r="D36" s="486">
        <f>IF(F35+SUM(E$17:E35)=D$10,F35,D$10-SUM(E$17:E35))</f>
        <v>1319484.3562539022</v>
      </c>
      <c r="E36" s="485">
        <f t="shared" si="7"/>
        <v>49925.079333333328</v>
      </c>
      <c r="F36" s="486">
        <f t="shared" si="8"/>
        <v>1269559.2769205689</v>
      </c>
      <c r="G36" s="487">
        <f t="shared" si="9"/>
        <v>221741.07933333333</v>
      </c>
      <c r="H36" s="456">
        <f t="shared" si="10"/>
        <v>221741.07933333333</v>
      </c>
      <c r="I36" s="476">
        <f t="shared" si="4"/>
        <v>0</v>
      </c>
      <c r="J36" s="476"/>
      <c r="K36" s="488"/>
      <c r="L36" s="479">
        <f t="shared" si="11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3"/>
        <v/>
      </c>
      <c r="C37" s="473">
        <f>IF(D11="","-",+C36+1)</f>
        <v>2034</v>
      </c>
      <c r="D37" s="486">
        <f>IF(F36+SUM(E$17:E36)=D$10,F36,D$10-SUM(E$17:E36))</f>
        <v>1269559.2769205689</v>
      </c>
      <c r="E37" s="485">
        <f t="shared" si="7"/>
        <v>49925.079333333328</v>
      </c>
      <c r="F37" s="486">
        <f t="shared" si="8"/>
        <v>1219634.1975872356</v>
      </c>
      <c r="G37" s="487">
        <f t="shared" si="9"/>
        <v>214985.07933333333</v>
      </c>
      <c r="H37" s="456">
        <f t="shared" si="10"/>
        <v>214985.07933333333</v>
      </c>
      <c r="I37" s="476">
        <f t="shared" si="4"/>
        <v>0</v>
      </c>
      <c r="J37" s="476"/>
      <c r="K37" s="488"/>
      <c r="L37" s="479">
        <f t="shared" si="11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3"/>
        <v/>
      </c>
      <c r="C38" s="473">
        <f>IF(D11="","-",+C37+1)</f>
        <v>2035</v>
      </c>
      <c r="D38" s="486">
        <f>IF(F37+SUM(E$17:E37)=D$10,F37,D$10-SUM(E$17:E37))</f>
        <v>1219634.1975872356</v>
      </c>
      <c r="E38" s="485">
        <f t="shared" si="7"/>
        <v>49925.079333333328</v>
      </c>
      <c r="F38" s="486">
        <f t="shared" si="8"/>
        <v>1169709.1182539023</v>
      </c>
      <c r="G38" s="487">
        <f t="shared" si="9"/>
        <v>208228.07933333333</v>
      </c>
      <c r="H38" s="456">
        <f t="shared" si="10"/>
        <v>208228.07933333333</v>
      </c>
      <c r="I38" s="476">
        <f t="shared" si="4"/>
        <v>0</v>
      </c>
      <c r="J38" s="476"/>
      <c r="K38" s="488"/>
      <c r="L38" s="479">
        <f t="shared" si="11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3"/>
        <v/>
      </c>
      <c r="C39" s="473">
        <f>IF(D11="","-",+C38+1)</f>
        <v>2036</v>
      </c>
      <c r="D39" s="486">
        <f>IF(F38+SUM(E$17:E38)=D$10,F38,D$10-SUM(E$17:E38))</f>
        <v>1169709.1182539023</v>
      </c>
      <c r="E39" s="485">
        <f t="shared" si="7"/>
        <v>49925.079333333328</v>
      </c>
      <c r="F39" s="486">
        <f t="shared" si="8"/>
        <v>1119784.038920569</v>
      </c>
      <c r="G39" s="487">
        <f t="shared" si="9"/>
        <v>201471.07933333333</v>
      </c>
      <c r="H39" s="456">
        <f t="shared" si="10"/>
        <v>201471.07933333333</v>
      </c>
      <c r="I39" s="476">
        <f t="shared" si="4"/>
        <v>0</v>
      </c>
      <c r="J39" s="476"/>
      <c r="K39" s="488"/>
      <c r="L39" s="479">
        <f t="shared" si="11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3"/>
        <v/>
      </c>
      <c r="C40" s="473">
        <f>IF(D11="","-",+C39+1)</f>
        <v>2037</v>
      </c>
      <c r="D40" s="486">
        <f>IF(F39+SUM(E$17:E39)=D$10,F39,D$10-SUM(E$17:E39))</f>
        <v>1119784.038920569</v>
      </c>
      <c r="E40" s="485">
        <f t="shared" si="7"/>
        <v>49925.079333333328</v>
      </c>
      <c r="F40" s="486">
        <f t="shared" si="8"/>
        <v>1069858.9595872357</v>
      </c>
      <c r="G40" s="487">
        <f t="shared" si="9"/>
        <v>194715.07933333333</v>
      </c>
      <c r="H40" s="456">
        <f t="shared" si="10"/>
        <v>194715.07933333333</v>
      </c>
      <c r="I40" s="476">
        <f t="shared" si="4"/>
        <v>0</v>
      </c>
      <c r="J40" s="476"/>
      <c r="K40" s="488"/>
      <c r="L40" s="479">
        <f t="shared" si="11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3"/>
        <v/>
      </c>
      <c r="C41" s="473">
        <f>IF(D11="","-",+C40+1)</f>
        <v>2038</v>
      </c>
      <c r="D41" s="486">
        <f>IF(F40+SUM(E$17:E40)=D$10,F40,D$10-SUM(E$17:E40))</f>
        <v>1069858.9595872357</v>
      </c>
      <c r="E41" s="485">
        <f t="shared" si="7"/>
        <v>49925.079333333328</v>
      </c>
      <c r="F41" s="486">
        <f t="shared" si="8"/>
        <v>1019933.8802539024</v>
      </c>
      <c r="G41" s="487">
        <f t="shared" si="9"/>
        <v>187958.07933333333</v>
      </c>
      <c r="H41" s="456">
        <f t="shared" si="10"/>
        <v>187958.07933333333</v>
      </c>
      <c r="I41" s="476">
        <f t="shared" si="4"/>
        <v>0</v>
      </c>
      <c r="J41" s="476"/>
      <c r="K41" s="488"/>
      <c r="L41" s="479">
        <f t="shared" si="11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3"/>
        <v/>
      </c>
      <c r="C42" s="473">
        <f>IF(D11="","-",+C41+1)</f>
        <v>2039</v>
      </c>
      <c r="D42" s="486">
        <f>IF(F41+SUM(E$17:E41)=D$10,F41,D$10-SUM(E$17:E41))</f>
        <v>1019933.8802539024</v>
      </c>
      <c r="E42" s="485">
        <f t="shared" si="7"/>
        <v>49925.079333333328</v>
      </c>
      <c r="F42" s="486">
        <f t="shared" si="8"/>
        <v>970008.80092056911</v>
      </c>
      <c r="G42" s="487">
        <f t="shared" si="9"/>
        <v>181202.07933333333</v>
      </c>
      <c r="H42" s="456">
        <f t="shared" si="10"/>
        <v>181202.07933333333</v>
      </c>
      <c r="I42" s="476">
        <f t="shared" si="4"/>
        <v>0</v>
      </c>
      <c r="J42" s="476"/>
      <c r="K42" s="488"/>
      <c r="L42" s="479">
        <f t="shared" si="11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3"/>
        <v/>
      </c>
      <c r="C43" s="473">
        <f>IF(D11="","-",+C42+1)</f>
        <v>2040</v>
      </c>
      <c r="D43" s="486">
        <f>IF(F42+SUM(E$17:E42)=D$10,F42,D$10-SUM(E$17:E42))</f>
        <v>970008.80092056911</v>
      </c>
      <c r="E43" s="485">
        <f t="shared" si="7"/>
        <v>49925.079333333328</v>
      </c>
      <c r="F43" s="486">
        <f t="shared" si="8"/>
        <v>920083.72158723581</v>
      </c>
      <c r="G43" s="487">
        <f t="shared" si="9"/>
        <v>174445.07933333333</v>
      </c>
      <c r="H43" s="456">
        <f t="shared" si="10"/>
        <v>174445.07933333333</v>
      </c>
      <c r="I43" s="476">
        <f t="shared" si="4"/>
        <v>0</v>
      </c>
      <c r="J43" s="476"/>
      <c r="K43" s="488"/>
      <c r="L43" s="479">
        <f t="shared" si="11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3"/>
        <v/>
      </c>
      <c r="C44" s="473">
        <f>IF(D11="","-",+C43+1)</f>
        <v>2041</v>
      </c>
      <c r="D44" s="486">
        <f>IF(F43+SUM(E$17:E43)=D$10,F43,D$10-SUM(E$17:E43))</f>
        <v>920083.72158723581</v>
      </c>
      <c r="E44" s="485">
        <f t="shared" si="7"/>
        <v>49925.079333333328</v>
      </c>
      <c r="F44" s="486">
        <f t="shared" si="8"/>
        <v>870158.64225390251</v>
      </c>
      <c r="G44" s="487">
        <f t="shared" si="9"/>
        <v>167688.07933333333</v>
      </c>
      <c r="H44" s="456">
        <f t="shared" si="10"/>
        <v>167688.07933333333</v>
      </c>
      <c r="I44" s="476">
        <f t="shared" si="4"/>
        <v>0</v>
      </c>
      <c r="J44" s="476"/>
      <c r="K44" s="488"/>
      <c r="L44" s="479">
        <f t="shared" si="11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3"/>
        <v/>
      </c>
      <c r="C45" s="473">
        <f>IF(D11="","-",+C44+1)</f>
        <v>2042</v>
      </c>
      <c r="D45" s="486">
        <f>IF(F44+SUM(E$17:E44)=D$10,F44,D$10-SUM(E$17:E44))</f>
        <v>870158.64225390251</v>
      </c>
      <c r="E45" s="485">
        <f t="shared" si="7"/>
        <v>49925.079333333328</v>
      </c>
      <c r="F45" s="486">
        <f t="shared" si="8"/>
        <v>820233.56292056921</v>
      </c>
      <c r="G45" s="487">
        <f t="shared" si="9"/>
        <v>160932.07933333333</v>
      </c>
      <c r="H45" s="456">
        <f t="shared" si="10"/>
        <v>160932.07933333333</v>
      </c>
      <c r="I45" s="476">
        <f t="shared" si="4"/>
        <v>0</v>
      </c>
      <c r="J45" s="476"/>
      <c r="K45" s="488"/>
      <c r="L45" s="479">
        <f t="shared" si="11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3"/>
        <v/>
      </c>
      <c r="C46" s="473">
        <f>IF(D11="","-",+C45+1)</f>
        <v>2043</v>
      </c>
      <c r="D46" s="486">
        <f>IF(F45+SUM(E$17:E45)=D$10,F45,D$10-SUM(E$17:E45))</f>
        <v>820233.56292056921</v>
      </c>
      <c r="E46" s="485">
        <f t="shared" si="7"/>
        <v>49925.079333333328</v>
      </c>
      <c r="F46" s="486">
        <f t="shared" si="8"/>
        <v>770308.48358723591</v>
      </c>
      <c r="G46" s="487">
        <f t="shared" si="9"/>
        <v>154175.07933333333</v>
      </c>
      <c r="H46" s="456">
        <f t="shared" si="10"/>
        <v>154175.07933333333</v>
      </c>
      <c r="I46" s="476">
        <f t="shared" si="4"/>
        <v>0</v>
      </c>
      <c r="J46" s="476"/>
      <c r="K46" s="488"/>
      <c r="L46" s="479">
        <f t="shared" si="11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3"/>
        <v/>
      </c>
      <c r="C47" s="473">
        <f>IF(D11="","-",+C46+1)</f>
        <v>2044</v>
      </c>
      <c r="D47" s="486">
        <f>IF(F46+SUM(E$17:E46)=D$10,F46,D$10-SUM(E$17:E46))</f>
        <v>770308.48358723591</v>
      </c>
      <c r="E47" s="485">
        <f t="shared" si="7"/>
        <v>49925.079333333328</v>
      </c>
      <c r="F47" s="486">
        <f t="shared" si="8"/>
        <v>720383.40425390261</v>
      </c>
      <c r="G47" s="487">
        <f t="shared" si="9"/>
        <v>147418.07933333333</v>
      </c>
      <c r="H47" s="456">
        <f t="shared" si="10"/>
        <v>147418.07933333333</v>
      </c>
      <c r="I47" s="476">
        <f t="shared" si="4"/>
        <v>0</v>
      </c>
      <c r="J47" s="476"/>
      <c r="K47" s="488"/>
      <c r="L47" s="479">
        <f t="shared" si="11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3"/>
        <v/>
      </c>
      <c r="C48" s="473">
        <f>IF(D11="","-",+C47+1)</f>
        <v>2045</v>
      </c>
      <c r="D48" s="486">
        <f>IF(F47+SUM(E$17:E47)=D$10,F47,D$10-SUM(E$17:E47))</f>
        <v>720383.40425390261</v>
      </c>
      <c r="E48" s="485">
        <f t="shared" si="7"/>
        <v>49925.079333333328</v>
      </c>
      <c r="F48" s="486">
        <f t="shared" si="8"/>
        <v>670458.32492056931</v>
      </c>
      <c r="G48" s="487">
        <f t="shared" si="9"/>
        <v>140662.07933333333</v>
      </c>
      <c r="H48" s="456">
        <f t="shared" si="10"/>
        <v>140662.07933333333</v>
      </c>
      <c r="I48" s="476">
        <f t="shared" si="4"/>
        <v>0</v>
      </c>
      <c r="J48" s="476"/>
      <c r="K48" s="488"/>
      <c r="L48" s="479">
        <f t="shared" si="11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3"/>
        <v/>
      </c>
      <c r="C49" s="473">
        <f>IF(D11="","-",+C48+1)</f>
        <v>2046</v>
      </c>
      <c r="D49" s="486">
        <f>IF(F48+SUM(E$17:E48)=D$10,F48,D$10-SUM(E$17:E48))</f>
        <v>670458.32492056931</v>
      </c>
      <c r="E49" s="485">
        <f t="shared" si="7"/>
        <v>49925.079333333328</v>
      </c>
      <c r="F49" s="486">
        <f t="shared" si="8"/>
        <v>620533.24558723602</v>
      </c>
      <c r="G49" s="487">
        <f t="shared" si="9"/>
        <v>133905.07933333333</v>
      </c>
      <c r="H49" s="456">
        <f t="shared" si="10"/>
        <v>133905.07933333333</v>
      </c>
      <c r="I49" s="476">
        <f t="shared" si="4"/>
        <v>0</v>
      </c>
      <c r="J49" s="476"/>
      <c r="K49" s="488"/>
      <c r="L49" s="479">
        <f t="shared" si="11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3"/>
        <v/>
      </c>
      <c r="C50" s="473">
        <f>IF(D11="","-",+C49+1)</f>
        <v>2047</v>
      </c>
      <c r="D50" s="486">
        <f>IF(F49+SUM(E$17:E49)=D$10,F49,D$10-SUM(E$17:E49))</f>
        <v>620533.24558723602</v>
      </c>
      <c r="E50" s="485">
        <f t="shared" si="7"/>
        <v>49925.079333333328</v>
      </c>
      <c r="F50" s="486">
        <f t="shared" si="8"/>
        <v>570608.16625390272</v>
      </c>
      <c r="G50" s="487">
        <f t="shared" si="9"/>
        <v>127148.07933333333</v>
      </c>
      <c r="H50" s="456">
        <f t="shared" si="10"/>
        <v>127148.07933333333</v>
      </c>
      <c r="I50" s="476">
        <f t="shared" si="4"/>
        <v>0</v>
      </c>
      <c r="J50" s="476"/>
      <c r="K50" s="488"/>
      <c r="L50" s="479">
        <f t="shared" si="11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3"/>
        <v/>
      </c>
      <c r="C51" s="473">
        <f>IF(D11="","-",+C50+1)</f>
        <v>2048</v>
      </c>
      <c r="D51" s="486">
        <f>IF(F50+SUM(E$17:E50)=D$10,F50,D$10-SUM(E$17:E50))</f>
        <v>570608.16625390272</v>
      </c>
      <c r="E51" s="485">
        <f t="shared" si="7"/>
        <v>49925.079333333328</v>
      </c>
      <c r="F51" s="486">
        <f t="shared" si="8"/>
        <v>520683.08692056942</v>
      </c>
      <c r="G51" s="487">
        <f t="shared" si="9"/>
        <v>120392.07933333333</v>
      </c>
      <c r="H51" s="456">
        <f t="shared" si="10"/>
        <v>120392.07933333333</v>
      </c>
      <c r="I51" s="476">
        <f t="shared" si="4"/>
        <v>0</v>
      </c>
      <c r="J51" s="476"/>
      <c r="K51" s="488"/>
      <c r="L51" s="479">
        <f t="shared" si="11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3"/>
        <v/>
      </c>
      <c r="C52" s="473">
        <f>IF(D11="","-",+C51+1)</f>
        <v>2049</v>
      </c>
      <c r="D52" s="486">
        <f>IF(F51+SUM(E$17:E51)=D$10,F51,D$10-SUM(E$17:E51))</f>
        <v>520683.08692056942</v>
      </c>
      <c r="E52" s="485">
        <f t="shared" si="7"/>
        <v>49925.079333333328</v>
      </c>
      <c r="F52" s="486">
        <f t="shared" si="8"/>
        <v>470758.00758723612</v>
      </c>
      <c r="G52" s="487">
        <f t="shared" si="9"/>
        <v>113635.07933333333</v>
      </c>
      <c r="H52" s="456">
        <f t="shared" si="10"/>
        <v>113635.07933333333</v>
      </c>
      <c r="I52" s="476">
        <f t="shared" si="4"/>
        <v>0</v>
      </c>
      <c r="J52" s="476"/>
      <c r="K52" s="488"/>
      <c r="L52" s="479">
        <f t="shared" si="11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3"/>
        <v/>
      </c>
      <c r="C53" s="473">
        <f>IF(D11="","-",+C52+1)</f>
        <v>2050</v>
      </c>
      <c r="D53" s="486">
        <f>IF(F52+SUM(E$17:E52)=D$10,F52,D$10-SUM(E$17:E52))</f>
        <v>470758.00758723612</v>
      </c>
      <c r="E53" s="485">
        <f t="shared" si="7"/>
        <v>49925.079333333328</v>
      </c>
      <c r="F53" s="486">
        <f t="shared" si="8"/>
        <v>420832.92825390282</v>
      </c>
      <c r="G53" s="487">
        <f t="shared" si="9"/>
        <v>106879.07933333333</v>
      </c>
      <c r="H53" s="456">
        <f t="shared" si="10"/>
        <v>106879.07933333333</v>
      </c>
      <c r="I53" s="476">
        <f t="shared" si="4"/>
        <v>0</v>
      </c>
      <c r="J53" s="476"/>
      <c r="K53" s="488"/>
      <c r="L53" s="479">
        <f t="shared" si="11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3"/>
        <v/>
      </c>
      <c r="C54" s="473">
        <f>IF(D11="","-",+C53+1)</f>
        <v>2051</v>
      </c>
      <c r="D54" s="486">
        <f>IF(F53+SUM(E$17:E53)=D$10,F53,D$10-SUM(E$17:E53))</f>
        <v>420832.92825390282</v>
      </c>
      <c r="E54" s="485">
        <f t="shared" si="7"/>
        <v>49925.079333333328</v>
      </c>
      <c r="F54" s="486">
        <f t="shared" si="8"/>
        <v>370907.84892056952</v>
      </c>
      <c r="G54" s="487">
        <f t="shared" si="9"/>
        <v>100122.07933333333</v>
      </c>
      <c r="H54" s="456">
        <f t="shared" si="10"/>
        <v>100122.07933333333</v>
      </c>
      <c r="I54" s="476">
        <f t="shared" si="4"/>
        <v>0</v>
      </c>
      <c r="J54" s="476"/>
      <c r="K54" s="488"/>
      <c r="L54" s="479">
        <f t="shared" si="11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3"/>
        <v/>
      </c>
      <c r="C55" s="473">
        <f>IF(D11="","-",+C54+1)</f>
        <v>2052</v>
      </c>
      <c r="D55" s="486">
        <f>IF(F54+SUM(E$17:E54)=D$10,F54,D$10-SUM(E$17:E54))</f>
        <v>370907.84892056952</v>
      </c>
      <c r="E55" s="485">
        <f t="shared" si="7"/>
        <v>49925.079333333328</v>
      </c>
      <c r="F55" s="486">
        <f t="shared" si="8"/>
        <v>320982.76958723622</v>
      </c>
      <c r="G55" s="487">
        <f t="shared" si="9"/>
        <v>93365.079333333328</v>
      </c>
      <c r="H55" s="456">
        <f t="shared" si="10"/>
        <v>93365.079333333328</v>
      </c>
      <c r="I55" s="476">
        <f t="shared" si="4"/>
        <v>0</v>
      </c>
      <c r="J55" s="476"/>
      <c r="K55" s="488"/>
      <c r="L55" s="479">
        <f t="shared" si="11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3"/>
        <v/>
      </c>
      <c r="C56" s="473">
        <f>IF(D11="","-",+C55+1)</f>
        <v>2053</v>
      </c>
      <c r="D56" s="486">
        <f>IF(F55+SUM(E$17:E55)=D$10,F55,D$10-SUM(E$17:E55))</f>
        <v>320982.76958723622</v>
      </c>
      <c r="E56" s="485">
        <f t="shared" si="7"/>
        <v>49925.079333333328</v>
      </c>
      <c r="F56" s="486">
        <f t="shared" si="8"/>
        <v>271057.69025390293</v>
      </c>
      <c r="G56" s="487">
        <f t="shared" si="9"/>
        <v>86609.079333333328</v>
      </c>
      <c r="H56" s="456">
        <f t="shared" si="10"/>
        <v>86609.079333333328</v>
      </c>
      <c r="I56" s="476">
        <f t="shared" si="4"/>
        <v>0</v>
      </c>
      <c r="J56" s="476"/>
      <c r="K56" s="488"/>
      <c r="L56" s="479">
        <f t="shared" si="11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3"/>
        <v/>
      </c>
      <c r="C57" s="473">
        <f>IF(D11="","-",+C56+1)</f>
        <v>2054</v>
      </c>
      <c r="D57" s="486">
        <f>IF(F56+SUM(E$17:E56)=D$10,F56,D$10-SUM(E$17:E56))</f>
        <v>271057.69025390293</v>
      </c>
      <c r="E57" s="485">
        <f t="shared" si="7"/>
        <v>49925.079333333328</v>
      </c>
      <c r="F57" s="486">
        <f t="shared" si="8"/>
        <v>221132.6109205696</v>
      </c>
      <c r="G57" s="487">
        <f t="shared" si="9"/>
        <v>79852.079333333328</v>
      </c>
      <c r="H57" s="456">
        <f t="shared" si="10"/>
        <v>79852.079333333328</v>
      </c>
      <c r="I57" s="476">
        <f t="shared" si="4"/>
        <v>0</v>
      </c>
      <c r="J57" s="476"/>
      <c r="K57" s="488"/>
      <c r="L57" s="479">
        <f t="shared" si="11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3"/>
        <v/>
      </c>
      <c r="C58" s="473">
        <f>IF(D11="","-",+C57+1)</f>
        <v>2055</v>
      </c>
      <c r="D58" s="486">
        <f>IF(F57+SUM(E$17:E57)=D$10,F57,D$10-SUM(E$17:E57))</f>
        <v>221132.6109205696</v>
      </c>
      <c r="E58" s="485">
        <f t="shared" si="7"/>
        <v>49925.079333333328</v>
      </c>
      <c r="F58" s="486">
        <f t="shared" si="8"/>
        <v>171207.53158723627</v>
      </c>
      <c r="G58" s="487">
        <f t="shared" si="9"/>
        <v>73095.079333333328</v>
      </c>
      <c r="H58" s="456">
        <f t="shared" si="10"/>
        <v>73095.079333333328</v>
      </c>
      <c r="I58" s="476">
        <f t="shared" si="4"/>
        <v>0</v>
      </c>
      <c r="J58" s="476"/>
      <c r="K58" s="488"/>
      <c r="L58" s="479">
        <f t="shared" si="11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3"/>
        <v/>
      </c>
      <c r="C59" s="473">
        <f>IF(D11="","-",+C58+1)</f>
        <v>2056</v>
      </c>
      <c r="D59" s="486">
        <f>IF(F58+SUM(E$17:E58)=D$10,F58,D$10-SUM(E$17:E58))</f>
        <v>171207.53158723627</v>
      </c>
      <c r="E59" s="485">
        <f t="shared" si="7"/>
        <v>49925.079333333328</v>
      </c>
      <c r="F59" s="486">
        <f t="shared" si="8"/>
        <v>121282.45225390294</v>
      </c>
      <c r="G59" s="487">
        <f t="shared" si="9"/>
        <v>66339.079333333328</v>
      </c>
      <c r="H59" s="456">
        <f t="shared" si="10"/>
        <v>66339.079333333328</v>
      </c>
      <c r="I59" s="476">
        <f t="shared" si="4"/>
        <v>0</v>
      </c>
      <c r="J59" s="476"/>
      <c r="K59" s="488"/>
      <c r="L59" s="479">
        <f t="shared" si="11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3"/>
        <v/>
      </c>
      <c r="C60" s="473">
        <f>IF(D11="","-",+C59+1)</f>
        <v>2057</v>
      </c>
      <c r="D60" s="486">
        <f>IF(F59+SUM(E$17:E59)=D$10,F59,D$10-SUM(E$17:E59))</f>
        <v>121282.45225390294</v>
      </c>
      <c r="E60" s="485">
        <f t="shared" si="7"/>
        <v>49925.079333333328</v>
      </c>
      <c r="F60" s="486">
        <f t="shared" si="8"/>
        <v>71357.372920569615</v>
      </c>
      <c r="G60" s="487">
        <f t="shared" si="9"/>
        <v>59582.079333333328</v>
      </c>
      <c r="H60" s="456">
        <f t="shared" si="10"/>
        <v>59582.079333333328</v>
      </c>
      <c r="I60" s="476">
        <f t="shared" si="4"/>
        <v>0</v>
      </c>
      <c r="J60" s="476"/>
      <c r="K60" s="488"/>
      <c r="L60" s="479">
        <f t="shared" si="11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3"/>
        <v/>
      </c>
      <c r="C61" s="473">
        <f>IF(D11="","-",+C60+1)</f>
        <v>2058</v>
      </c>
      <c r="D61" s="486">
        <f>IF(F60+SUM(E$17:E60)=D$10,F60,D$10-SUM(E$17:E60))</f>
        <v>71357.372920569615</v>
      </c>
      <c r="E61" s="485">
        <f t="shared" si="7"/>
        <v>49925.079333333328</v>
      </c>
      <c r="F61" s="486">
        <f t="shared" si="8"/>
        <v>21432.293587236287</v>
      </c>
      <c r="G61" s="487">
        <f t="shared" si="9"/>
        <v>52826.079333333328</v>
      </c>
      <c r="H61" s="456">
        <f t="shared" si="10"/>
        <v>52826.079333333328</v>
      </c>
      <c r="I61" s="476">
        <f t="shared" si="4"/>
        <v>0</v>
      </c>
      <c r="J61" s="476"/>
      <c r="K61" s="488"/>
      <c r="L61" s="479">
        <f t="shared" si="11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3"/>
        <v/>
      </c>
      <c r="C62" s="473">
        <f>IF(D11="","-",+C61+1)</f>
        <v>2059</v>
      </c>
      <c r="D62" s="486">
        <f>IF(F61+SUM(E$17:E61)=D$10,F61,D$10-SUM(E$17:E61))</f>
        <v>21432.293587236287</v>
      </c>
      <c r="E62" s="485">
        <f t="shared" si="7"/>
        <v>21432.293587236287</v>
      </c>
      <c r="F62" s="486">
        <f t="shared" si="8"/>
        <v>0</v>
      </c>
      <c r="G62" s="487">
        <f t="shared" si="9"/>
        <v>21432.293587236287</v>
      </c>
      <c r="H62" s="456">
        <f t="shared" si="10"/>
        <v>21432.293587236287</v>
      </c>
      <c r="I62" s="476">
        <f t="shared" si="4"/>
        <v>0</v>
      </c>
      <c r="J62" s="476"/>
      <c r="K62" s="488"/>
      <c r="L62" s="479">
        <f t="shared" si="11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3"/>
        <v/>
      </c>
      <c r="C63" s="473">
        <f>IF(D11="","-",+C62+1)</f>
        <v>2060</v>
      </c>
      <c r="D63" s="486">
        <f>IF(F62+SUM(E$17:E62)=D$10,F62,D$10-SUM(E$17:E62))</f>
        <v>0</v>
      </c>
      <c r="E63" s="485">
        <f t="shared" si="7"/>
        <v>0</v>
      </c>
      <c r="F63" s="486">
        <f t="shared" si="8"/>
        <v>0</v>
      </c>
      <c r="G63" s="487">
        <f t="shared" si="9"/>
        <v>0</v>
      </c>
      <c r="H63" s="456">
        <f t="shared" si="10"/>
        <v>0</v>
      </c>
      <c r="I63" s="476">
        <f t="shared" si="4"/>
        <v>0</v>
      </c>
      <c r="J63" s="476"/>
      <c r="K63" s="488"/>
      <c r="L63" s="479">
        <f t="shared" si="11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3"/>
        <v/>
      </c>
      <c r="C64" s="473">
        <f>IF(D11="","-",+C63+1)</f>
        <v>2061</v>
      </c>
      <c r="D64" s="486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4"/>
        <v>0</v>
      </c>
      <c r="J64" s="476"/>
      <c r="K64" s="488"/>
      <c r="L64" s="479">
        <f t="shared" si="11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3"/>
        <v/>
      </c>
      <c r="C65" s="473">
        <f>IF(D11="","-",+C64+1)</f>
        <v>2062</v>
      </c>
      <c r="D65" s="486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4"/>
        <v>0</v>
      </c>
      <c r="J65" s="476"/>
      <c r="K65" s="488"/>
      <c r="L65" s="479">
        <f t="shared" si="11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3"/>
        <v/>
      </c>
      <c r="C66" s="473">
        <f>IF(D11="","-",+C65+1)</f>
        <v>2063</v>
      </c>
      <c r="D66" s="486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4"/>
        <v>0</v>
      </c>
      <c r="J66" s="476"/>
      <c r="K66" s="488"/>
      <c r="L66" s="479">
        <f t="shared" si="11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3"/>
        <v/>
      </c>
      <c r="C67" s="473">
        <f>IF(D11="","-",+C66+1)</f>
        <v>2064</v>
      </c>
      <c r="D67" s="486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4"/>
        <v>0</v>
      </c>
      <c r="J67" s="476"/>
      <c r="K67" s="488"/>
      <c r="L67" s="479">
        <f t="shared" si="11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3"/>
        <v/>
      </c>
      <c r="C68" s="473">
        <f>IF(D11="","-",+C67+1)</f>
        <v>2065</v>
      </c>
      <c r="D68" s="486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4"/>
        <v>0</v>
      </c>
      <c r="J68" s="476"/>
      <c r="K68" s="488"/>
      <c r="L68" s="479">
        <f t="shared" si="11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3"/>
        <v/>
      </c>
      <c r="C69" s="473">
        <f>IF(D11="","-",+C68+1)</f>
        <v>2066</v>
      </c>
      <c r="D69" s="486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4"/>
        <v>0</v>
      </c>
      <c r="J69" s="476"/>
      <c r="K69" s="488"/>
      <c r="L69" s="479">
        <f t="shared" si="11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3"/>
        <v/>
      </c>
      <c r="C70" s="473">
        <f>IF(D11="","-",+C69+1)</f>
        <v>2067</v>
      </c>
      <c r="D70" s="486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4"/>
        <v>0</v>
      </c>
      <c r="J70" s="476"/>
      <c r="K70" s="488"/>
      <c r="L70" s="479">
        <f t="shared" si="11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3"/>
        <v/>
      </c>
      <c r="C71" s="473">
        <f>IF(D11="","-",+C70+1)</f>
        <v>2068</v>
      </c>
      <c r="D71" s="486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4"/>
        <v>0</v>
      </c>
      <c r="J71" s="476"/>
      <c r="K71" s="488"/>
      <c r="L71" s="479">
        <f t="shared" si="11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3"/>
        <v/>
      </c>
      <c r="C72" s="490">
        <f>IF(D11="","-",+C71+1)</f>
        <v>2069</v>
      </c>
      <c r="D72" s="486">
        <f>IF(F71+SUM(E$17:E71)=D$10,F71,D$10-SUM(E$17:E71))</f>
        <v>0</v>
      </c>
      <c r="E72" s="485">
        <f t="shared" si="7"/>
        <v>0</v>
      </c>
      <c r="F72" s="486">
        <f t="shared" si="8"/>
        <v>0</v>
      </c>
      <c r="G72" s="487">
        <f t="shared" si="9"/>
        <v>0</v>
      </c>
      <c r="H72" s="456">
        <f t="shared" si="10"/>
        <v>0</v>
      </c>
      <c r="I72" s="476">
        <f t="shared" si="4"/>
        <v>0</v>
      </c>
      <c r="J72" s="476"/>
      <c r="K72" s="495"/>
      <c r="L72" s="496">
        <f t="shared" si="11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2246628.5699999998</v>
      </c>
      <c r="F73" s="348"/>
      <c r="G73" s="348">
        <f>SUM(G17:G72)</f>
        <v>8993585.9697559234</v>
      </c>
      <c r="H73" s="348">
        <f>SUM(H17:H72)</f>
        <v>8993585.9697559234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15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279098.59002601594</v>
      </c>
      <c r="N87" s="509">
        <f>IF(J92&lt;D11,0,VLOOKUP(J92,C17:O72,11))</f>
        <v>279098.59002601594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260002.83525061089</v>
      </c>
      <c r="N88" s="513">
        <f>IF(J92&lt;D11,0,VLOOKUP(J92,C99:P154,7))</f>
        <v>260002.83525061089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Locust Grove to Lone Star 115 kV Rebuild 2.1 miles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-19095.754775405047</v>
      </c>
      <c r="N89" s="518">
        <f>+N88-N87</f>
        <v>-19095.754775405047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TP2009093</v>
      </c>
      <c r="E91" s="523" t="str">
        <f>E9</f>
        <v xml:space="preserve">  SPP Project ID = 649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2246628.5699999998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605" t="s">
        <v>272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+D12</f>
        <v>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54796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 t="str">
        <f>IF(D93= "","-",D93)</f>
        <v>2014</v>
      </c>
      <c r="D99" s="585">
        <v>0</v>
      </c>
      <c r="E99" s="586">
        <v>36003.333333333336</v>
      </c>
      <c r="F99" s="587">
        <v>2210625.2366666663</v>
      </c>
      <c r="G99" s="606">
        <v>1105312.6183333332</v>
      </c>
      <c r="H99" s="607">
        <v>191405.76922123961</v>
      </c>
      <c r="I99" s="608">
        <v>191405.76922123961</v>
      </c>
      <c r="J99" s="479">
        <v>0</v>
      </c>
      <c r="K99" s="479"/>
      <c r="L99" s="477">
        <f>H99</f>
        <v>191405.76922123961</v>
      </c>
      <c r="M99" s="349">
        <f>IF(L99&lt;&gt;0,+H99-L99,0)</f>
        <v>0</v>
      </c>
      <c r="N99" s="477">
        <f>I99</f>
        <v>191405.76922123961</v>
      </c>
      <c r="O99" s="476">
        <f>IF(N99&lt;&gt;0,+I99-N99,0)</f>
        <v>0</v>
      </c>
      <c r="P99" s="479">
        <f>+O99-M99</f>
        <v>0</v>
      </c>
    </row>
    <row r="100" spans="1:16" ht="12.5">
      <c r="B100" s="160" t="str">
        <f>IF(D100=F99,"","IU")</f>
        <v/>
      </c>
      <c r="C100" s="473">
        <f>IF(D93="","-",+C99+1)</f>
        <v>2015</v>
      </c>
      <c r="D100" s="585">
        <v>2210625.2366666663</v>
      </c>
      <c r="E100" s="586">
        <v>43204</v>
      </c>
      <c r="F100" s="587">
        <v>2167421.2366666663</v>
      </c>
      <c r="G100" s="587">
        <v>2189023.2366666663</v>
      </c>
      <c r="H100" s="607">
        <v>341878.62002899748</v>
      </c>
      <c r="I100" s="608">
        <v>341878.62002899748</v>
      </c>
      <c r="J100" s="479">
        <f>+I100-H100</f>
        <v>0</v>
      </c>
      <c r="K100" s="479"/>
      <c r="L100" s="477">
        <f>H100</f>
        <v>341878.62002899748</v>
      </c>
      <c r="M100" s="349">
        <f>IF(L100&lt;&gt;0,+H100-L100,0)</f>
        <v>0</v>
      </c>
      <c r="N100" s="477">
        <f>I100</f>
        <v>341878.62002899748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2">IF(D101=F100,"","IU")</f>
        <v/>
      </c>
      <c r="C101" s="473">
        <f>IF(D93="","-",+C100+1)</f>
        <v>2016</v>
      </c>
      <c r="D101" s="585">
        <v>2167421.2366666663</v>
      </c>
      <c r="E101" s="586">
        <v>48840</v>
      </c>
      <c r="F101" s="587">
        <v>2118581.2366666663</v>
      </c>
      <c r="G101" s="587">
        <v>2143001.2366666663</v>
      </c>
      <c r="H101" s="607">
        <v>325106.60926354182</v>
      </c>
      <c r="I101" s="608">
        <v>325106.60926354182</v>
      </c>
      <c r="J101" s="479">
        <f t="shared" ref="J101:J154" si="13">+I101-H101</f>
        <v>0</v>
      </c>
      <c r="K101" s="479"/>
      <c r="L101" s="477">
        <f>H101</f>
        <v>325106.60926354182</v>
      </c>
      <c r="M101" s="349">
        <f>IF(L101&lt;&gt;0,+H101-L101,0)</f>
        <v>0</v>
      </c>
      <c r="N101" s="477">
        <f>I101</f>
        <v>325106.60926354182</v>
      </c>
      <c r="O101" s="476">
        <f>IF(N101&lt;&gt;0,+I101-N101,0)</f>
        <v>0</v>
      </c>
      <c r="P101" s="479">
        <f>+O101-M101</f>
        <v>0</v>
      </c>
    </row>
    <row r="102" spans="1:16" ht="12.5">
      <c r="B102" s="160" t="str">
        <f t="shared" si="12"/>
        <v/>
      </c>
      <c r="C102" s="473">
        <f>IF(D93="","-",+C101+1)</f>
        <v>2017</v>
      </c>
      <c r="D102" s="585">
        <v>2118581.2366666663</v>
      </c>
      <c r="E102" s="586">
        <v>48840</v>
      </c>
      <c r="F102" s="587">
        <v>2069741.2366666663</v>
      </c>
      <c r="G102" s="587">
        <v>2094161.2366666663</v>
      </c>
      <c r="H102" s="607">
        <v>314489.63330060086</v>
      </c>
      <c r="I102" s="608">
        <v>314489.63330060086</v>
      </c>
      <c r="J102" s="479">
        <f t="shared" si="13"/>
        <v>0</v>
      </c>
      <c r="K102" s="479"/>
      <c r="L102" s="477">
        <f>H102</f>
        <v>314489.63330060086</v>
      </c>
      <c r="M102" s="349">
        <f>IF(L102&lt;&gt;0,+H102-L102,0)</f>
        <v>0</v>
      </c>
      <c r="N102" s="477">
        <f>I102</f>
        <v>314489.63330060086</v>
      </c>
      <c r="O102" s="476">
        <f>IF(N102&lt;&gt;0,+I102-N102,0)</f>
        <v>0</v>
      </c>
      <c r="P102" s="479">
        <f>+O102-M102</f>
        <v>0</v>
      </c>
    </row>
    <row r="103" spans="1:16" ht="12.5">
      <c r="B103" s="160" t="str">
        <f t="shared" si="12"/>
        <v/>
      </c>
      <c r="C103" s="473">
        <f>IF(D93="","-",+C102+1)</f>
        <v>2018</v>
      </c>
      <c r="D103" s="585">
        <v>2069741.2366666663</v>
      </c>
      <c r="E103" s="586">
        <v>52247</v>
      </c>
      <c r="F103" s="587">
        <v>2017494.2366666663</v>
      </c>
      <c r="G103" s="587">
        <v>2043617.7366666663</v>
      </c>
      <c r="H103" s="607">
        <v>262199.22655399318</v>
      </c>
      <c r="I103" s="608">
        <v>262199.22655399318</v>
      </c>
      <c r="J103" s="479">
        <f t="shared" si="13"/>
        <v>0</v>
      </c>
      <c r="K103" s="479"/>
      <c r="L103" s="477">
        <f>H103</f>
        <v>262199.22655399318</v>
      </c>
      <c r="M103" s="349">
        <f>IF(L103&lt;&gt;0,+H103-L103,0)</f>
        <v>0</v>
      </c>
      <c r="N103" s="477">
        <f>I103</f>
        <v>262199.22655399318</v>
      </c>
      <c r="O103" s="476">
        <f>IF(N103&lt;&gt;0,+I103-N103,0)</f>
        <v>0</v>
      </c>
      <c r="P103" s="479">
        <f>+O103-M103</f>
        <v>0</v>
      </c>
    </row>
    <row r="104" spans="1:16" ht="12.5">
      <c r="B104" s="160" t="str">
        <f t="shared" si="12"/>
        <v/>
      </c>
      <c r="C104" s="473">
        <f>IF(D93="","-",+C103+1)</f>
        <v>2019</v>
      </c>
      <c r="D104" s="347">
        <f>IF(F103+SUM(E$99:E103)=D$92,F103,D$92-SUM(E$99:E103))</f>
        <v>2017494.2366666663</v>
      </c>
      <c r="E104" s="485">
        <f t="shared" ref="E104:E154" si="14">IF(+J$96&lt;F103,J$96,D104)</f>
        <v>54796</v>
      </c>
      <c r="F104" s="486">
        <f t="shared" ref="F104:F154" si="15">+D104-E104</f>
        <v>1962698.2366666663</v>
      </c>
      <c r="G104" s="486">
        <f t="shared" ref="G104:G154" si="16">+(F104+D104)/2</f>
        <v>1990096.2366666663</v>
      </c>
      <c r="H104" s="489">
        <f t="shared" ref="H104:H154" si="17">+J$94*G104+E104</f>
        <v>260002.83525061089</v>
      </c>
      <c r="I104" s="543">
        <f t="shared" ref="I104:I154" si="18">+J$95*G104+E104</f>
        <v>260002.83525061089</v>
      </c>
      <c r="J104" s="479">
        <f t="shared" si="13"/>
        <v>0</v>
      </c>
      <c r="K104" s="479"/>
      <c r="L104" s="488"/>
      <c r="M104" s="479">
        <f t="shared" ref="M104:M130" si="19">IF(L104&lt;&gt;0,+H104-L104,0)</f>
        <v>0</v>
      </c>
      <c r="N104" s="488"/>
      <c r="O104" s="479">
        <f t="shared" ref="O104:O130" si="20">IF(N104&lt;&gt;0,+I104-N104,0)</f>
        <v>0</v>
      </c>
      <c r="P104" s="479">
        <f t="shared" ref="P104:P130" si="21">+O104-M104</f>
        <v>0</v>
      </c>
    </row>
    <row r="105" spans="1:16" ht="12.5">
      <c r="B105" s="160" t="str">
        <f t="shared" si="12"/>
        <v/>
      </c>
      <c r="C105" s="473">
        <f>IF(D93="","-",+C104+1)</f>
        <v>2020</v>
      </c>
      <c r="D105" s="347">
        <f>IF(F104+SUM(E$99:E104)=D$92,F104,D$92-SUM(E$99:E104))</f>
        <v>1962698.2366666663</v>
      </c>
      <c r="E105" s="485">
        <f t="shared" si="14"/>
        <v>54796</v>
      </c>
      <c r="F105" s="486">
        <f t="shared" si="15"/>
        <v>1907902.2366666663</v>
      </c>
      <c r="G105" s="486">
        <f t="shared" si="16"/>
        <v>1935300.2366666663</v>
      </c>
      <c r="H105" s="489">
        <f t="shared" si="17"/>
        <v>254352.59907749665</v>
      </c>
      <c r="I105" s="543">
        <f t="shared" si="18"/>
        <v>254352.59907749665</v>
      </c>
      <c r="J105" s="479">
        <f t="shared" si="13"/>
        <v>0</v>
      </c>
      <c r="K105" s="479"/>
      <c r="L105" s="488"/>
      <c r="M105" s="479">
        <f t="shared" si="19"/>
        <v>0</v>
      </c>
      <c r="N105" s="488"/>
      <c r="O105" s="479">
        <f t="shared" si="20"/>
        <v>0</v>
      </c>
      <c r="P105" s="479">
        <f t="shared" si="21"/>
        <v>0</v>
      </c>
    </row>
    <row r="106" spans="1:16" ht="12.5">
      <c r="B106" s="160" t="str">
        <f t="shared" si="12"/>
        <v/>
      </c>
      <c r="C106" s="473">
        <f>IF(D93="","-",+C105+1)</f>
        <v>2021</v>
      </c>
      <c r="D106" s="347">
        <f>IF(F105+SUM(E$99:E105)=D$92,F105,D$92-SUM(E$99:E105))</f>
        <v>1907902.2366666663</v>
      </c>
      <c r="E106" s="485">
        <f t="shared" si="14"/>
        <v>54796</v>
      </c>
      <c r="F106" s="486">
        <f t="shared" si="15"/>
        <v>1853106.2366666663</v>
      </c>
      <c r="G106" s="486">
        <f t="shared" si="16"/>
        <v>1880504.2366666663</v>
      </c>
      <c r="H106" s="489">
        <f t="shared" si="17"/>
        <v>248702.36290438243</v>
      </c>
      <c r="I106" s="543">
        <f t="shared" si="18"/>
        <v>248702.36290438243</v>
      </c>
      <c r="J106" s="479">
        <f t="shared" si="13"/>
        <v>0</v>
      </c>
      <c r="K106" s="479"/>
      <c r="L106" s="488"/>
      <c r="M106" s="479">
        <f t="shared" si="19"/>
        <v>0</v>
      </c>
      <c r="N106" s="488"/>
      <c r="O106" s="479">
        <f t="shared" si="20"/>
        <v>0</v>
      </c>
      <c r="P106" s="479">
        <f t="shared" si="21"/>
        <v>0</v>
      </c>
    </row>
    <row r="107" spans="1:16" ht="12.5">
      <c r="B107" s="160" t="str">
        <f t="shared" si="12"/>
        <v/>
      </c>
      <c r="C107" s="473">
        <f>IF(D93="","-",+C106+1)</f>
        <v>2022</v>
      </c>
      <c r="D107" s="347">
        <f>IF(F106+SUM(E$99:E106)=D$92,F106,D$92-SUM(E$99:E106))</f>
        <v>1853106.2366666663</v>
      </c>
      <c r="E107" s="485">
        <f t="shared" si="14"/>
        <v>54796</v>
      </c>
      <c r="F107" s="486">
        <f t="shared" si="15"/>
        <v>1798310.2366666663</v>
      </c>
      <c r="G107" s="486">
        <f t="shared" si="16"/>
        <v>1825708.2366666663</v>
      </c>
      <c r="H107" s="489">
        <f t="shared" si="17"/>
        <v>243052.12673126822</v>
      </c>
      <c r="I107" s="543">
        <f t="shared" si="18"/>
        <v>243052.12673126822</v>
      </c>
      <c r="J107" s="479">
        <f t="shared" si="13"/>
        <v>0</v>
      </c>
      <c r="K107" s="479"/>
      <c r="L107" s="488"/>
      <c r="M107" s="479">
        <f t="shared" si="19"/>
        <v>0</v>
      </c>
      <c r="N107" s="488"/>
      <c r="O107" s="479">
        <f t="shared" si="20"/>
        <v>0</v>
      </c>
      <c r="P107" s="479">
        <f t="shared" si="21"/>
        <v>0</v>
      </c>
    </row>
    <row r="108" spans="1:16" ht="12.5">
      <c r="B108" s="160" t="str">
        <f t="shared" si="12"/>
        <v/>
      </c>
      <c r="C108" s="473">
        <f>IF(D93="","-",+C107+1)</f>
        <v>2023</v>
      </c>
      <c r="D108" s="347">
        <f>IF(F107+SUM(E$99:E107)=D$92,F107,D$92-SUM(E$99:E107))</f>
        <v>1798310.2366666663</v>
      </c>
      <c r="E108" s="485">
        <f t="shared" si="14"/>
        <v>54796</v>
      </c>
      <c r="F108" s="486">
        <f t="shared" si="15"/>
        <v>1743514.2366666663</v>
      </c>
      <c r="G108" s="486">
        <f t="shared" si="16"/>
        <v>1770912.2366666663</v>
      </c>
      <c r="H108" s="489">
        <f t="shared" si="17"/>
        <v>237401.890558154</v>
      </c>
      <c r="I108" s="543">
        <f t="shared" si="18"/>
        <v>237401.890558154</v>
      </c>
      <c r="J108" s="479">
        <f t="shared" si="13"/>
        <v>0</v>
      </c>
      <c r="K108" s="479"/>
      <c r="L108" s="488"/>
      <c r="M108" s="479">
        <f t="shared" si="19"/>
        <v>0</v>
      </c>
      <c r="N108" s="488"/>
      <c r="O108" s="479">
        <f t="shared" si="20"/>
        <v>0</v>
      </c>
      <c r="P108" s="479">
        <f t="shared" si="21"/>
        <v>0</v>
      </c>
    </row>
    <row r="109" spans="1:16" ht="12.5">
      <c r="B109" s="160" t="str">
        <f t="shared" si="12"/>
        <v/>
      </c>
      <c r="C109" s="473">
        <f>IF(D93="","-",+C108+1)</f>
        <v>2024</v>
      </c>
      <c r="D109" s="347">
        <f>IF(F108+SUM(E$99:E108)=D$92,F108,D$92-SUM(E$99:E108))</f>
        <v>1743514.2366666663</v>
      </c>
      <c r="E109" s="485">
        <f t="shared" si="14"/>
        <v>54796</v>
      </c>
      <c r="F109" s="486">
        <f t="shared" si="15"/>
        <v>1688718.2366666663</v>
      </c>
      <c r="G109" s="486">
        <f t="shared" si="16"/>
        <v>1716116.2366666663</v>
      </c>
      <c r="H109" s="489">
        <f t="shared" si="17"/>
        <v>231751.65438503979</v>
      </c>
      <c r="I109" s="543">
        <f t="shared" si="18"/>
        <v>231751.65438503979</v>
      </c>
      <c r="J109" s="479">
        <f t="shared" si="13"/>
        <v>0</v>
      </c>
      <c r="K109" s="479"/>
      <c r="L109" s="488"/>
      <c r="M109" s="479">
        <f t="shared" si="19"/>
        <v>0</v>
      </c>
      <c r="N109" s="488"/>
      <c r="O109" s="479">
        <f t="shared" si="20"/>
        <v>0</v>
      </c>
      <c r="P109" s="479">
        <f t="shared" si="21"/>
        <v>0</v>
      </c>
    </row>
    <row r="110" spans="1:16" ht="12.5">
      <c r="B110" s="160" t="str">
        <f t="shared" si="12"/>
        <v/>
      </c>
      <c r="C110" s="473">
        <f>IF(D93="","-",+C109+1)</f>
        <v>2025</v>
      </c>
      <c r="D110" s="347">
        <f>IF(F109+SUM(E$99:E109)=D$92,F109,D$92-SUM(E$99:E109))</f>
        <v>1688718.2366666663</v>
      </c>
      <c r="E110" s="485">
        <f t="shared" si="14"/>
        <v>54796</v>
      </c>
      <c r="F110" s="486">
        <f t="shared" si="15"/>
        <v>1633922.2366666663</v>
      </c>
      <c r="G110" s="486">
        <f t="shared" si="16"/>
        <v>1661320.2366666663</v>
      </c>
      <c r="H110" s="489">
        <f t="shared" si="17"/>
        <v>226101.41821192557</v>
      </c>
      <c r="I110" s="543">
        <f t="shared" si="18"/>
        <v>226101.41821192557</v>
      </c>
      <c r="J110" s="479">
        <f t="shared" si="13"/>
        <v>0</v>
      </c>
      <c r="K110" s="479"/>
      <c r="L110" s="488"/>
      <c r="M110" s="479">
        <f t="shared" si="19"/>
        <v>0</v>
      </c>
      <c r="N110" s="488"/>
      <c r="O110" s="479">
        <f t="shared" si="20"/>
        <v>0</v>
      </c>
      <c r="P110" s="479">
        <f t="shared" si="21"/>
        <v>0</v>
      </c>
    </row>
    <row r="111" spans="1:16" ht="12.5">
      <c r="B111" s="160" t="str">
        <f t="shared" si="12"/>
        <v/>
      </c>
      <c r="C111" s="473">
        <f>IF(D93="","-",+C110+1)</f>
        <v>2026</v>
      </c>
      <c r="D111" s="347">
        <f>IF(F110+SUM(E$99:E110)=D$92,F110,D$92-SUM(E$99:E110))</f>
        <v>1633922.2366666663</v>
      </c>
      <c r="E111" s="485">
        <f t="shared" si="14"/>
        <v>54796</v>
      </c>
      <c r="F111" s="486">
        <f t="shared" si="15"/>
        <v>1579126.2366666663</v>
      </c>
      <c r="G111" s="486">
        <f t="shared" si="16"/>
        <v>1606524.2366666663</v>
      </c>
      <c r="H111" s="489">
        <f t="shared" si="17"/>
        <v>220451.18203881136</v>
      </c>
      <c r="I111" s="543">
        <f t="shared" si="18"/>
        <v>220451.18203881136</v>
      </c>
      <c r="J111" s="479">
        <f t="shared" si="13"/>
        <v>0</v>
      </c>
      <c r="K111" s="479"/>
      <c r="L111" s="488"/>
      <c r="M111" s="479">
        <f t="shared" si="19"/>
        <v>0</v>
      </c>
      <c r="N111" s="488"/>
      <c r="O111" s="479">
        <f t="shared" si="20"/>
        <v>0</v>
      </c>
      <c r="P111" s="479">
        <f t="shared" si="21"/>
        <v>0</v>
      </c>
    </row>
    <row r="112" spans="1:16" ht="12.5">
      <c r="B112" s="160" t="str">
        <f t="shared" si="12"/>
        <v/>
      </c>
      <c r="C112" s="473">
        <f>IF(D93="","-",+C111+1)</f>
        <v>2027</v>
      </c>
      <c r="D112" s="347">
        <f>IF(F111+SUM(E$99:E111)=D$92,F111,D$92-SUM(E$99:E111))</f>
        <v>1579126.2366666663</v>
      </c>
      <c r="E112" s="485">
        <f t="shared" si="14"/>
        <v>54796</v>
      </c>
      <c r="F112" s="486">
        <f t="shared" si="15"/>
        <v>1524330.2366666663</v>
      </c>
      <c r="G112" s="486">
        <f t="shared" si="16"/>
        <v>1551728.2366666663</v>
      </c>
      <c r="H112" s="489">
        <f t="shared" si="17"/>
        <v>214800.94586569714</v>
      </c>
      <c r="I112" s="543">
        <f t="shared" si="18"/>
        <v>214800.94586569714</v>
      </c>
      <c r="J112" s="479">
        <f t="shared" si="13"/>
        <v>0</v>
      </c>
      <c r="K112" s="479"/>
      <c r="L112" s="488"/>
      <c r="M112" s="479">
        <f t="shared" si="19"/>
        <v>0</v>
      </c>
      <c r="N112" s="488"/>
      <c r="O112" s="479">
        <f t="shared" si="20"/>
        <v>0</v>
      </c>
      <c r="P112" s="479">
        <f t="shared" si="21"/>
        <v>0</v>
      </c>
    </row>
    <row r="113" spans="2:16" ht="12.5">
      <c r="B113" s="160" t="str">
        <f t="shared" si="12"/>
        <v/>
      </c>
      <c r="C113" s="473">
        <f>IF(D93="","-",+C112+1)</f>
        <v>2028</v>
      </c>
      <c r="D113" s="347">
        <f>IF(F112+SUM(E$99:E112)=D$92,F112,D$92-SUM(E$99:E112))</f>
        <v>1524330.2366666663</v>
      </c>
      <c r="E113" s="485">
        <f t="shared" si="14"/>
        <v>54796</v>
      </c>
      <c r="F113" s="486">
        <f t="shared" si="15"/>
        <v>1469534.2366666663</v>
      </c>
      <c r="G113" s="486">
        <f t="shared" si="16"/>
        <v>1496932.2366666663</v>
      </c>
      <c r="H113" s="489">
        <f t="shared" si="17"/>
        <v>209150.70969258292</v>
      </c>
      <c r="I113" s="543">
        <f t="shared" si="18"/>
        <v>209150.70969258292</v>
      </c>
      <c r="J113" s="479">
        <f t="shared" si="13"/>
        <v>0</v>
      </c>
      <c r="K113" s="479"/>
      <c r="L113" s="488"/>
      <c r="M113" s="479">
        <f t="shared" si="19"/>
        <v>0</v>
      </c>
      <c r="N113" s="488"/>
      <c r="O113" s="479">
        <f t="shared" si="20"/>
        <v>0</v>
      </c>
      <c r="P113" s="479">
        <f t="shared" si="21"/>
        <v>0</v>
      </c>
    </row>
    <row r="114" spans="2:16" ht="12.5">
      <c r="B114" s="160" t="str">
        <f t="shared" si="12"/>
        <v/>
      </c>
      <c r="C114" s="473">
        <f>IF(D93="","-",+C113+1)</f>
        <v>2029</v>
      </c>
      <c r="D114" s="347">
        <f>IF(F113+SUM(E$99:E113)=D$92,F113,D$92-SUM(E$99:E113))</f>
        <v>1469534.2366666663</v>
      </c>
      <c r="E114" s="485">
        <f t="shared" si="14"/>
        <v>54796</v>
      </c>
      <c r="F114" s="486">
        <f t="shared" si="15"/>
        <v>1414738.2366666663</v>
      </c>
      <c r="G114" s="486">
        <f t="shared" si="16"/>
        <v>1442136.2366666663</v>
      </c>
      <c r="H114" s="489">
        <f t="shared" si="17"/>
        <v>203500.47351946868</v>
      </c>
      <c r="I114" s="543">
        <f t="shared" si="18"/>
        <v>203500.47351946868</v>
      </c>
      <c r="J114" s="479">
        <f t="shared" si="13"/>
        <v>0</v>
      </c>
      <c r="K114" s="479"/>
      <c r="L114" s="488"/>
      <c r="M114" s="479">
        <f t="shared" si="19"/>
        <v>0</v>
      </c>
      <c r="N114" s="488"/>
      <c r="O114" s="479">
        <f t="shared" si="20"/>
        <v>0</v>
      </c>
      <c r="P114" s="479">
        <f t="shared" si="21"/>
        <v>0</v>
      </c>
    </row>
    <row r="115" spans="2:16" ht="12.5">
      <c r="B115" s="160" t="str">
        <f t="shared" si="12"/>
        <v/>
      </c>
      <c r="C115" s="473">
        <f>IF(D93="","-",+C114+1)</f>
        <v>2030</v>
      </c>
      <c r="D115" s="347">
        <f>IF(F114+SUM(E$99:E114)=D$92,F114,D$92-SUM(E$99:E114))</f>
        <v>1414738.2366666663</v>
      </c>
      <c r="E115" s="485">
        <f t="shared" si="14"/>
        <v>54796</v>
      </c>
      <c r="F115" s="486">
        <f t="shared" si="15"/>
        <v>1359942.2366666663</v>
      </c>
      <c r="G115" s="486">
        <f t="shared" si="16"/>
        <v>1387340.2366666663</v>
      </c>
      <c r="H115" s="489">
        <f t="shared" si="17"/>
        <v>197850.23734635446</v>
      </c>
      <c r="I115" s="543">
        <f t="shared" si="18"/>
        <v>197850.23734635446</v>
      </c>
      <c r="J115" s="479">
        <f t="shared" si="13"/>
        <v>0</v>
      </c>
      <c r="K115" s="479"/>
      <c r="L115" s="488"/>
      <c r="M115" s="479">
        <f t="shared" si="19"/>
        <v>0</v>
      </c>
      <c r="N115" s="488"/>
      <c r="O115" s="479">
        <f t="shared" si="20"/>
        <v>0</v>
      </c>
      <c r="P115" s="479">
        <f t="shared" si="21"/>
        <v>0</v>
      </c>
    </row>
    <row r="116" spans="2:16" ht="12.5">
      <c r="B116" s="160" t="str">
        <f t="shared" si="12"/>
        <v/>
      </c>
      <c r="C116" s="473">
        <f>IF(D93="","-",+C115+1)</f>
        <v>2031</v>
      </c>
      <c r="D116" s="347">
        <f>IF(F115+SUM(E$99:E115)=D$92,F115,D$92-SUM(E$99:E115))</f>
        <v>1359942.2366666663</v>
      </c>
      <c r="E116" s="485">
        <f t="shared" si="14"/>
        <v>54796</v>
      </c>
      <c r="F116" s="486">
        <f t="shared" si="15"/>
        <v>1305146.2366666663</v>
      </c>
      <c r="G116" s="486">
        <f t="shared" si="16"/>
        <v>1332544.2366666663</v>
      </c>
      <c r="H116" s="489">
        <f t="shared" si="17"/>
        <v>192200.00117324025</v>
      </c>
      <c r="I116" s="543">
        <f t="shared" si="18"/>
        <v>192200.00117324025</v>
      </c>
      <c r="J116" s="479">
        <f t="shared" si="13"/>
        <v>0</v>
      </c>
      <c r="K116" s="479"/>
      <c r="L116" s="488"/>
      <c r="M116" s="479">
        <f t="shared" si="19"/>
        <v>0</v>
      </c>
      <c r="N116" s="488"/>
      <c r="O116" s="479">
        <f t="shared" si="20"/>
        <v>0</v>
      </c>
      <c r="P116" s="479">
        <f t="shared" si="21"/>
        <v>0</v>
      </c>
    </row>
    <row r="117" spans="2:16" ht="12.5">
      <c r="B117" s="160" t="str">
        <f t="shared" si="12"/>
        <v/>
      </c>
      <c r="C117" s="473">
        <f>IF(D93="","-",+C116+1)</f>
        <v>2032</v>
      </c>
      <c r="D117" s="347">
        <f>IF(F116+SUM(E$99:E116)=D$92,F116,D$92-SUM(E$99:E116))</f>
        <v>1305146.2366666663</v>
      </c>
      <c r="E117" s="485">
        <f t="shared" si="14"/>
        <v>54796</v>
      </c>
      <c r="F117" s="486">
        <f t="shared" si="15"/>
        <v>1250350.2366666663</v>
      </c>
      <c r="G117" s="486">
        <f t="shared" si="16"/>
        <v>1277748.2366666663</v>
      </c>
      <c r="H117" s="489">
        <f t="shared" si="17"/>
        <v>186549.76500012603</v>
      </c>
      <c r="I117" s="543">
        <f t="shared" si="18"/>
        <v>186549.76500012603</v>
      </c>
      <c r="J117" s="479">
        <f t="shared" si="13"/>
        <v>0</v>
      </c>
      <c r="K117" s="479"/>
      <c r="L117" s="488"/>
      <c r="M117" s="479">
        <f t="shared" si="19"/>
        <v>0</v>
      </c>
      <c r="N117" s="488"/>
      <c r="O117" s="479">
        <f t="shared" si="20"/>
        <v>0</v>
      </c>
      <c r="P117" s="479">
        <f t="shared" si="21"/>
        <v>0</v>
      </c>
    </row>
    <row r="118" spans="2:16" ht="12.5">
      <c r="B118" s="160" t="str">
        <f t="shared" si="12"/>
        <v/>
      </c>
      <c r="C118" s="473">
        <f>IF(D93="","-",+C117+1)</f>
        <v>2033</v>
      </c>
      <c r="D118" s="347">
        <f>IF(F117+SUM(E$99:E117)=D$92,F117,D$92-SUM(E$99:E117))</f>
        <v>1250350.2366666663</v>
      </c>
      <c r="E118" s="485">
        <f t="shared" si="14"/>
        <v>54796</v>
      </c>
      <c r="F118" s="486">
        <f t="shared" si="15"/>
        <v>1195554.2366666663</v>
      </c>
      <c r="G118" s="486">
        <f t="shared" si="16"/>
        <v>1222952.2366666663</v>
      </c>
      <c r="H118" s="489">
        <f t="shared" si="17"/>
        <v>180899.52882701182</v>
      </c>
      <c r="I118" s="543">
        <f t="shared" si="18"/>
        <v>180899.52882701182</v>
      </c>
      <c r="J118" s="479">
        <f t="shared" si="13"/>
        <v>0</v>
      </c>
      <c r="K118" s="479"/>
      <c r="L118" s="488"/>
      <c r="M118" s="479">
        <f t="shared" si="19"/>
        <v>0</v>
      </c>
      <c r="N118" s="488"/>
      <c r="O118" s="479">
        <f t="shared" si="20"/>
        <v>0</v>
      </c>
      <c r="P118" s="479">
        <f t="shared" si="21"/>
        <v>0</v>
      </c>
    </row>
    <row r="119" spans="2:16" ht="12.5">
      <c r="B119" s="160" t="str">
        <f t="shared" si="12"/>
        <v/>
      </c>
      <c r="C119" s="473">
        <f>IF(D93="","-",+C118+1)</f>
        <v>2034</v>
      </c>
      <c r="D119" s="347">
        <f>IF(F118+SUM(E$99:E118)=D$92,F118,D$92-SUM(E$99:E118))</f>
        <v>1195554.2366666663</v>
      </c>
      <c r="E119" s="485">
        <f t="shared" si="14"/>
        <v>54796</v>
      </c>
      <c r="F119" s="486">
        <f t="shared" si="15"/>
        <v>1140758.2366666663</v>
      </c>
      <c r="G119" s="486">
        <f t="shared" si="16"/>
        <v>1168156.2366666663</v>
      </c>
      <c r="H119" s="489">
        <f t="shared" si="17"/>
        <v>175249.2926538976</v>
      </c>
      <c r="I119" s="543">
        <f t="shared" si="18"/>
        <v>175249.2926538976</v>
      </c>
      <c r="J119" s="479">
        <f t="shared" si="13"/>
        <v>0</v>
      </c>
      <c r="K119" s="479"/>
      <c r="L119" s="488"/>
      <c r="M119" s="479">
        <f t="shared" si="19"/>
        <v>0</v>
      </c>
      <c r="N119" s="488"/>
      <c r="O119" s="479">
        <f t="shared" si="20"/>
        <v>0</v>
      </c>
      <c r="P119" s="479">
        <f t="shared" si="21"/>
        <v>0</v>
      </c>
    </row>
    <row r="120" spans="2:16" ht="12.5">
      <c r="B120" s="160" t="str">
        <f t="shared" si="12"/>
        <v/>
      </c>
      <c r="C120" s="473">
        <f>IF(D93="","-",+C119+1)</f>
        <v>2035</v>
      </c>
      <c r="D120" s="347">
        <f>IF(F119+SUM(E$99:E119)=D$92,F119,D$92-SUM(E$99:E119))</f>
        <v>1140758.2366666663</v>
      </c>
      <c r="E120" s="485">
        <f t="shared" si="14"/>
        <v>54796</v>
      </c>
      <c r="F120" s="486">
        <f t="shared" si="15"/>
        <v>1085962.2366666663</v>
      </c>
      <c r="G120" s="486">
        <f t="shared" si="16"/>
        <v>1113360.2366666663</v>
      </c>
      <c r="H120" s="489">
        <f t="shared" si="17"/>
        <v>169599.05648078339</v>
      </c>
      <c r="I120" s="543">
        <f t="shared" si="18"/>
        <v>169599.05648078339</v>
      </c>
      <c r="J120" s="479">
        <f t="shared" si="13"/>
        <v>0</v>
      </c>
      <c r="K120" s="479"/>
      <c r="L120" s="488"/>
      <c r="M120" s="479">
        <f t="shared" si="19"/>
        <v>0</v>
      </c>
      <c r="N120" s="488"/>
      <c r="O120" s="479">
        <f t="shared" si="20"/>
        <v>0</v>
      </c>
      <c r="P120" s="479">
        <f t="shared" si="21"/>
        <v>0</v>
      </c>
    </row>
    <row r="121" spans="2:16" ht="12.5">
      <c r="B121" s="160" t="str">
        <f t="shared" si="12"/>
        <v/>
      </c>
      <c r="C121" s="473">
        <f>IF(D93="","-",+C120+1)</f>
        <v>2036</v>
      </c>
      <c r="D121" s="347">
        <f>IF(F120+SUM(E$99:E120)=D$92,F120,D$92-SUM(E$99:E120))</f>
        <v>1085962.2366666663</v>
      </c>
      <c r="E121" s="485">
        <f t="shared" si="14"/>
        <v>54796</v>
      </c>
      <c r="F121" s="486">
        <f t="shared" si="15"/>
        <v>1031166.2366666663</v>
      </c>
      <c r="G121" s="486">
        <f t="shared" si="16"/>
        <v>1058564.2366666663</v>
      </c>
      <c r="H121" s="489">
        <f t="shared" si="17"/>
        <v>163948.82030766917</v>
      </c>
      <c r="I121" s="543">
        <f t="shared" si="18"/>
        <v>163948.82030766917</v>
      </c>
      <c r="J121" s="479">
        <f t="shared" si="13"/>
        <v>0</v>
      </c>
      <c r="K121" s="479"/>
      <c r="L121" s="488"/>
      <c r="M121" s="479">
        <f t="shared" si="19"/>
        <v>0</v>
      </c>
      <c r="N121" s="488"/>
      <c r="O121" s="479">
        <f t="shared" si="20"/>
        <v>0</v>
      </c>
      <c r="P121" s="479">
        <f t="shared" si="21"/>
        <v>0</v>
      </c>
    </row>
    <row r="122" spans="2:16" ht="12.5">
      <c r="B122" s="160" t="str">
        <f t="shared" si="12"/>
        <v/>
      </c>
      <c r="C122" s="473">
        <f>IF(D93="","-",+C121+1)</f>
        <v>2037</v>
      </c>
      <c r="D122" s="347">
        <f>IF(F121+SUM(E$99:E121)=D$92,F121,D$92-SUM(E$99:E121))</f>
        <v>1031166.2366666663</v>
      </c>
      <c r="E122" s="485">
        <f t="shared" si="14"/>
        <v>54796</v>
      </c>
      <c r="F122" s="486">
        <f t="shared" si="15"/>
        <v>976370.23666666634</v>
      </c>
      <c r="G122" s="486">
        <f t="shared" si="16"/>
        <v>1003768.2366666663</v>
      </c>
      <c r="H122" s="489">
        <f t="shared" si="17"/>
        <v>158298.58413455496</v>
      </c>
      <c r="I122" s="543">
        <f t="shared" si="18"/>
        <v>158298.58413455496</v>
      </c>
      <c r="J122" s="479">
        <f t="shared" si="13"/>
        <v>0</v>
      </c>
      <c r="K122" s="479"/>
      <c r="L122" s="488"/>
      <c r="M122" s="479">
        <f t="shared" si="19"/>
        <v>0</v>
      </c>
      <c r="N122" s="488"/>
      <c r="O122" s="479">
        <f t="shared" si="20"/>
        <v>0</v>
      </c>
      <c r="P122" s="479">
        <f t="shared" si="21"/>
        <v>0</v>
      </c>
    </row>
    <row r="123" spans="2:16" ht="12.5">
      <c r="B123" s="160" t="str">
        <f t="shared" si="12"/>
        <v/>
      </c>
      <c r="C123" s="473">
        <f>IF(D93="","-",+C122+1)</f>
        <v>2038</v>
      </c>
      <c r="D123" s="347">
        <f>IF(F122+SUM(E$99:E122)=D$92,F122,D$92-SUM(E$99:E122))</f>
        <v>976370.23666666634</v>
      </c>
      <c r="E123" s="485">
        <f t="shared" si="14"/>
        <v>54796</v>
      </c>
      <c r="F123" s="486">
        <f t="shared" si="15"/>
        <v>921574.23666666634</v>
      </c>
      <c r="G123" s="486">
        <f t="shared" si="16"/>
        <v>948972.23666666634</v>
      </c>
      <c r="H123" s="489">
        <f t="shared" si="17"/>
        <v>152648.34796144074</v>
      </c>
      <c r="I123" s="543">
        <f t="shared" si="18"/>
        <v>152648.34796144074</v>
      </c>
      <c r="J123" s="479">
        <f t="shared" si="13"/>
        <v>0</v>
      </c>
      <c r="K123" s="479"/>
      <c r="L123" s="488"/>
      <c r="M123" s="479">
        <f t="shared" si="19"/>
        <v>0</v>
      </c>
      <c r="N123" s="488"/>
      <c r="O123" s="479">
        <f t="shared" si="20"/>
        <v>0</v>
      </c>
      <c r="P123" s="479">
        <f t="shared" si="21"/>
        <v>0</v>
      </c>
    </row>
    <row r="124" spans="2:16" ht="12.5">
      <c r="B124" s="160" t="str">
        <f t="shared" si="12"/>
        <v/>
      </c>
      <c r="C124" s="473">
        <f>IF(D93="","-",+C123+1)</f>
        <v>2039</v>
      </c>
      <c r="D124" s="347">
        <f>IF(F123+SUM(E$99:E123)=D$92,F123,D$92-SUM(E$99:E123))</f>
        <v>921574.23666666634</v>
      </c>
      <c r="E124" s="485">
        <f t="shared" si="14"/>
        <v>54796</v>
      </c>
      <c r="F124" s="486">
        <f t="shared" si="15"/>
        <v>866778.23666666634</v>
      </c>
      <c r="G124" s="486">
        <f t="shared" si="16"/>
        <v>894176.23666666634</v>
      </c>
      <c r="H124" s="489">
        <f t="shared" si="17"/>
        <v>146998.1117883265</v>
      </c>
      <c r="I124" s="543">
        <f t="shared" si="18"/>
        <v>146998.1117883265</v>
      </c>
      <c r="J124" s="479">
        <f t="shared" si="13"/>
        <v>0</v>
      </c>
      <c r="K124" s="479"/>
      <c r="L124" s="488"/>
      <c r="M124" s="479">
        <f t="shared" si="19"/>
        <v>0</v>
      </c>
      <c r="N124" s="488"/>
      <c r="O124" s="479">
        <f t="shared" si="20"/>
        <v>0</v>
      </c>
      <c r="P124" s="479">
        <f t="shared" si="21"/>
        <v>0</v>
      </c>
    </row>
    <row r="125" spans="2:16" ht="12.5">
      <c r="B125" s="160" t="str">
        <f t="shared" si="12"/>
        <v/>
      </c>
      <c r="C125" s="473">
        <f>IF(D93="","-",+C124+1)</f>
        <v>2040</v>
      </c>
      <c r="D125" s="347">
        <f>IF(F124+SUM(E$99:E124)=D$92,F124,D$92-SUM(E$99:E124))</f>
        <v>866778.23666666634</v>
      </c>
      <c r="E125" s="485">
        <f t="shared" si="14"/>
        <v>54796</v>
      </c>
      <c r="F125" s="486">
        <f t="shared" si="15"/>
        <v>811982.23666666634</v>
      </c>
      <c r="G125" s="486">
        <f t="shared" si="16"/>
        <v>839380.23666666634</v>
      </c>
      <c r="H125" s="489">
        <f t="shared" si="17"/>
        <v>141347.87561521228</v>
      </c>
      <c r="I125" s="543">
        <f t="shared" si="18"/>
        <v>141347.87561521228</v>
      </c>
      <c r="J125" s="479">
        <f t="shared" si="13"/>
        <v>0</v>
      </c>
      <c r="K125" s="479"/>
      <c r="L125" s="488"/>
      <c r="M125" s="479">
        <f t="shared" si="19"/>
        <v>0</v>
      </c>
      <c r="N125" s="488"/>
      <c r="O125" s="479">
        <f t="shared" si="20"/>
        <v>0</v>
      </c>
      <c r="P125" s="479">
        <f t="shared" si="21"/>
        <v>0</v>
      </c>
    </row>
    <row r="126" spans="2:16" ht="12.5">
      <c r="B126" s="160" t="str">
        <f t="shared" si="12"/>
        <v/>
      </c>
      <c r="C126" s="473">
        <f>IF(D93="","-",+C125+1)</f>
        <v>2041</v>
      </c>
      <c r="D126" s="347">
        <f>IF(F125+SUM(E$99:E125)=D$92,F125,D$92-SUM(E$99:E125))</f>
        <v>811982.23666666634</v>
      </c>
      <c r="E126" s="485">
        <f t="shared" si="14"/>
        <v>54796</v>
      </c>
      <c r="F126" s="486">
        <f t="shared" si="15"/>
        <v>757186.23666666634</v>
      </c>
      <c r="G126" s="486">
        <f t="shared" si="16"/>
        <v>784584.23666666634</v>
      </c>
      <c r="H126" s="489">
        <f t="shared" si="17"/>
        <v>135697.63944209807</v>
      </c>
      <c r="I126" s="543">
        <f t="shared" si="18"/>
        <v>135697.63944209807</v>
      </c>
      <c r="J126" s="479">
        <f t="shared" si="13"/>
        <v>0</v>
      </c>
      <c r="K126" s="479"/>
      <c r="L126" s="488"/>
      <c r="M126" s="479">
        <f t="shared" si="19"/>
        <v>0</v>
      </c>
      <c r="N126" s="488"/>
      <c r="O126" s="479">
        <f t="shared" si="20"/>
        <v>0</v>
      </c>
      <c r="P126" s="479">
        <f t="shared" si="21"/>
        <v>0</v>
      </c>
    </row>
    <row r="127" spans="2:16" ht="12.5">
      <c r="B127" s="160" t="str">
        <f t="shared" si="12"/>
        <v/>
      </c>
      <c r="C127" s="473">
        <f>IF(D93="","-",+C126+1)</f>
        <v>2042</v>
      </c>
      <c r="D127" s="347">
        <f>IF(F126+SUM(E$99:E126)=D$92,F126,D$92-SUM(E$99:E126))</f>
        <v>757186.23666666634</v>
      </c>
      <c r="E127" s="485">
        <f t="shared" si="14"/>
        <v>54796</v>
      </c>
      <c r="F127" s="486">
        <f t="shared" si="15"/>
        <v>702390.23666666634</v>
      </c>
      <c r="G127" s="486">
        <f t="shared" si="16"/>
        <v>729788.23666666634</v>
      </c>
      <c r="H127" s="489">
        <f t="shared" si="17"/>
        <v>130047.40326898385</v>
      </c>
      <c r="I127" s="543">
        <f t="shared" si="18"/>
        <v>130047.40326898385</v>
      </c>
      <c r="J127" s="479">
        <f t="shared" si="13"/>
        <v>0</v>
      </c>
      <c r="K127" s="479"/>
      <c r="L127" s="488"/>
      <c r="M127" s="479">
        <f t="shared" si="19"/>
        <v>0</v>
      </c>
      <c r="N127" s="488"/>
      <c r="O127" s="479">
        <f t="shared" si="20"/>
        <v>0</v>
      </c>
      <c r="P127" s="479">
        <f t="shared" si="21"/>
        <v>0</v>
      </c>
    </row>
    <row r="128" spans="2:16" ht="12.5">
      <c r="B128" s="160" t="str">
        <f t="shared" si="12"/>
        <v/>
      </c>
      <c r="C128" s="473">
        <f>IF(D93="","-",+C127+1)</f>
        <v>2043</v>
      </c>
      <c r="D128" s="347">
        <f>IF(F127+SUM(E$99:E127)=D$92,F127,D$92-SUM(E$99:E127))</f>
        <v>702390.23666666634</v>
      </c>
      <c r="E128" s="485">
        <f t="shared" si="14"/>
        <v>54796</v>
      </c>
      <c r="F128" s="486">
        <f t="shared" si="15"/>
        <v>647594.23666666634</v>
      </c>
      <c r="G128" s="486">
        <f t="shared" si="16"/>
        <v>674992.23666666634</v>
      </c>
      <c r="H128" s="489">
        <f t="shared" si="17"/>
        <v>124397.16709586962</v>
      </c>
      <c r="I128" s="543">
        <f t="shared" si="18"/>
        <v>124397.16709586962</v>
      </c>
      <c r="J128" s="479">
        <f t="shared" si="13"/>
        <v>0</v>
      </c>
      <c r="K128" s="479"/>
      <c r="L128" s="488"/>
      <c r="M128" s="479">
        <f t="shared" si="19"/>
        <v>0</v>
      </c>
      <c r="N128" s="488"/>
      <c r="O128" s="479">
        <f t="shared" si="20"/>
        <v>0</v>
      </c>
      <c r="P128" s="479">
        <f t="shared" si="21"/>
        <v>0</v>
      </c>
    </row>
    <row r="129" spans="2:16" ht="12.5">
      <c r="B129" s="160" t="str">
        <f t="shared" si="12"/>
        <v/>
      </c>
      <c r="C129" s="473">
        <f>IF(D93="","-",+C128+1)</f>
        <v>2044</v>
      </c>
      <c r="D129" s="347">
        <f>IF(F128+SUM(E$99:E128)=D$92,F128,D$92-SUM(E$99:E128))</f>
        <v>647594.23666666634</v>
      </c>
      <c r="E129" s="485">
        <f t="shared" si="14"/>
        <v>54796</v>
      </c>
      <c r="F129" s="486">
        <f t="shared" si="15"/>
        <v>592798.23666666634</v>
      </c>
      <c r="G129" s="486">
        <f t="shared" si="16"/>
        <v>620196.23666666634</v>
      </c>
      <c r="H129" s="489">
        <f t="shared" si="17"/>
        <v>118746.9309227554</v>
      </c>
      <c r="I129" s="543">
        <f t="shared" si="18"/>
        <v>118746.9309227554</v>
      </c>
      <c r="J129" s="479">
        <f t="shared" si="13"/>
        <v>0</v>
      </c>
      <c r="K129" s="479"/>
      <c r="L129" s="488"/>
      <c r="M129" s="479">
        <f t="shared" si="19"/>
        <v>0</v>
      </c>
      <c r="N129" s="488"/>
      <c r="O129" s="479">
        <f t="shared" si="20"/>
        <v>0</v>
      </c>
      <c r="P129" s="479">
        <f t="shared" si="21"/>
        <v>0</v>
      </c>
    </row>
    <row r="130" spans="2:16" ht="12.5">
      <c r="B130" s="160" t="str">
        <f t="shared" si="12"/>
        <v/>
      </c>
      <c r="C130" s="473">
        <f>IF(D93="","-",+C129+1)</f>
        <v>2045</v>
      </c>
      <c r="D130" s="347">
        <f>IF(F129+SUM(E$99:E129)=D$92,F129,D$92-SUM(E$99:E129))</f>
        <v>592798.23666666634</v>
      </c>
      <c r="E130" s="485">
        <f t="shared" si="14"/>
        <v>54796</v>
      </c>
      <c r="F130" s="486">
        <f t="shared" si="15"/>
        <v>538002.23666666634</v>
      </c>
      <c r="G130" s="486">
        <f t="shared" si="16"/>
        <v>565400.23666666634</v>
      </c>
      <c r="H130" s="489">
        <f t="shared" si="17"/>
        <v>113096.69474964119</v>
      </c>
      <c r="I130" s="543">
        <f t="shared" si="18"/>
        <v>113096.69474964119</v>
      </c>
      <c r="J130" s="479">
        <f t="shared" si="13"/>
        <v>0</v>
      </c>
      <c r="K130" s="479"/>
      <c r="L130" s="488"/>
      <c r="M130" s="479">
        <f t="shared" si="19"/>
        <v>0</v>
      </c>
      <c r="N130" s="488"/>
      <c r="O130" s="479">
        <f t="shared" si="20"/>
        <v>0</v>
      </c>
      <c r="P130" s="479">
        <f t="shared" si="21"/>
        <v>0</v>
      </c>
    </row>
    <row r="131" spans="2:16" ht="12.5">
      <c r="B131" s="160" t="str">
        <f t="shared" si="12"/>
        <v/>
      </c>
      <c r="C131" s="473">
        <f>IF(D93="","-",+C130+1)</f>
        <v>2046</v>
      </c>
      <c r="D131" s="347">
        <f>IF(F130+SUM(E$99:E130)=D$92,F130,D$92-SUM(E$99:E130))</f>
        <v>538002.23666666634</v>
      </c>
      <c r="E131" s="485">
        <f t="shared" si="14"/>
        <v>54796</v>
      </c>
      <c r="F131" s="486">
        <f t="shared" si="15"/>
        <v>483206.23666666634</v>
      </c>
      <c r="G131" s="486">
        <f t="shared" si="16"/>
        <v>510604.23666666634</v>
      </c>
      <c r="H131" s="489">
        <f t="shared" si="17"/>
        <v>107446.45857652696</v>
      </c>
      <c r="I131" s="543">
        <f t="shared" si="18"/>
        <v>107446.45857652696</v>
      </c>
      <c r="J131" s="479">
        <f t="shared" si="13"/>
        <v>0</v>
      </c>
      <c r="K131" s="479"/>
      <c r="L131" s="488"/>
      <c r="M131" s="479">
        <f t="shared" ref="M131:M154" si="22">IF(L541&lt;&gt;0,+H541-L541,0)</f>
        <v>0</v>
      </c>
      <c r="N131" s="488"/>
      <c r="O131" s="479">
        <f t="shared" ref="O131:O154" si="23">IF(N541&lt;&gt;0,+I541-N541,0)</f>
        <v>0</v>
      </c>
      <c r="P131" s="479">
        <f t="shared" ref="P131:P154" si="24">+O541-M541</f>
        <v>0</v>
      </c>
    </row>
    <row r="132" spans="2:16" ht="12.5">
      <c r="B132" s="160" t="str">
        <f t="shared" si="12"/>
        <v/>
      </c>
      <c r="C132" s="473">
        <f>IF(D93="","-",+C131+1)</f>
        <v>2047</v>
      </c>
      <c r="D132" s="347">
        <f>IF(F131+SUM(E$99:E131)=D$92,F131,D$92-SUM(E$99:E131))</f>
        <v>483206.23666666634</v>
      </c>
      <c r="E132" s="485">
        <f t="shared" si="14"/>
        <v>54796</v>
      </c>
      <c r="F132" s="486">
        <f t="shared" si="15"/>
        <v>428410.23666666634</v>
      </c>
      <c r="G132" s="486">
        <f t="shared" si="16"/>
        <v>455808.23666666634</v>
      </c>
      <c r="H132" s="489">
        <f t="shared" si="17"/>
        <v>101796.22240341274</v>
      </c>
      <c r="I132" s="543">
        <f t="shared" si="18"/>
        <v>101796.22240341274</v>
      </c>
      <c r="J132" s="479">
        <f t="shared" si="13"/>
        <v>0</v>
      </c>
      <c r="K132" s="479"/>
      <c r="L132" s="488"/>
      <c r="M132" s="479">
        <f t="shared" si="22"/>
        <v>0</v>
      </c>
      <c r="N132" s="488"/>
      <c r="O132" s="479">
        <f t="shared" si="23"/>
        <v>0</v>
      </c>
      <c r="P132" s="479">
        <f t="shared" si="24"/>
        <v>0</v>
      </c>
    </row>
    <row r="133" spans="2:16" ht="12.5">
      <c r="B133" s="160" t="str">
        <f t="shared" si="12"/>
        <v/>
      </c>
      <c r="C133" s="473">
        <f>IF(D93="","-",+C132+1)</f>
        <v>2048</v>
      </c>
      <c r="D133" s="347">
        <f>IF(F132+SUM(E$99:E132)=D$92,F132,D$92-SUM(E$99:E132))</f>
        <v>428410.23666666634</v>
      </c>
      <c r="E133" s="485">
        <f t="shared" si="14"/>
        <v>54796</v>
      </c>
      <c r="F133" s="486">
        <f t="shared" si="15"/>
        <v>373614.23666666634</v>
      </c>
      <c r="G133" s="486">
        <f t="shared" si="16"/>
        <v>401012.23666666634</v>
      </c>
      <c r="H133" s="489">
        <f t="shared" si="17"/>
        <v>96145.986230298528</v>
      </c>
      <c r="I133" s="543">
        <f t="shared" si="18"/>
        <v>96145.986230298528</v>
      </c>
      <c r="J133" s="479">
        <f t="shared" si="13"/>
        <v>0</v>
      </c>
      <c r="K133" s="479"/>
      <c r="L133" s="488"/>
      <c r="M133" s="479">
        <f t="shared" si="22"/>
        <v>0</v>
      </c>
      <c r="N133" s="488"/>
      <c r="O133" s="479">
        <f t="shared" si="23"/>
        <v>0</v>
      </c>
      <c r="P133" s="479">
        <f t="shared" si="24"/>
        <v>0</v>
      </c>
    </row>
    <row r="134" spans="2:16" ht="12.5">
      <c r="B134" s="160" t="str">
        <f t="shared" si="12"/>
        <v/>
      </c>
      <c r="C134" s="473">
        <f>IF(D93="","-",+C133+1)</f>
        <v>2049</v>
      </c>
      <c r="D134" s="347">
        <f>IF(F133+SUM(E$99:E133)=D$92,F133,D$92-SUM(E$99:E133))</f>
        <v>373614.23666666634</v>
      </c>
      <c r="E134" s="485">
        <f t="shared" si="14"/>
        <v>54796</v>
      </c>
      <c r="F134" s="486">
        <f t="shared" si="15"/>
        <v>318818.23666666634</v>
      </c>
      <c r="G134" s="486">
        <f t="shared" si="16"/>
        <v>346216.23666666634</v>
      </c>
      <c r="H134" s="489">
        <f t="shared" si="17"/>
        <v>90495.750057184312</v>
      </c>
      <c r="I134" s="543">
        <f t="shared" si="18"/>
        <v>90495.750057184312</v>
      </c>
      <c r="J134" s="479">
        <f t="shared" si="13"/>
        <v>0</v>
      </c>
      <c r="K134" s="479"/>
      <c r="L134" s="488"/>
      <c r="M134" s="479">
        <f t="shared" si="22"/>
        <v>0</v>
      </c>
      <c r="N134" s="488"/>
      <c r="O134" s="479">
        <f t="shared" si="23"/>
        <v>0</v>
      </c>
      <c r="P134" s="479">
        <f t="shared" si="24"/>
        <v>0</v>
      </c>
    </row>
    <row r="135" spans="2:16" ht="12.5">
      <c r="B135" s="160" t="str">
        <f t="shared" si="12"/>
        <v/>
      </c>
      <c r="C135" s="473">
        <f>IF(D93="","-",+C134+1)</f>
        <v>2050</v>
      </c>
      <c r="D135" s="347">
        <f>IF(F134+SUM(E$99:E134)=D$92,F134,D$92-SUM(E$99:E134))</f>
        <v>318818.23666666634</v>
      </c>
      <c r="E135" s="485">
        <f t="shared" si="14"/>
        <v>54796</v>
      </c>
      <c r="F135" s="486">
        <f t="shared" si="15"/>
        <v>264022.23666666634</v>
      </c>
      <c r="G135" s="486">
        <f t="shared" si="16"/>
        <v>291420.23666666634</v>
      </c>
      <c r="H135" s="489">
        <f t="shared" si="17"/>
        <v>84845.513884070097</v>
      </c>
      <c r="I135" s="543">
        <f t="shared" si="18"/>
        <v>84845.513884070097</v>
      </c>
      <c r="J135" s="479">
        <f t="shared" si="13"/>
        <v>0</v>
      </c>
      <c r="K135" s="479"/>
      <c r="L135" s="488"/>
      <c r="M135" s="479">
        <f t="shared" si="22"/>
        <v>0</v>
      </c>
      <c r="N135" s="488"/>
      <c r="O135" s="479">
        <f t="shared" si="23"/>
        <v>0</v>
      </c>
      <c r="P135" s="479">
        <f t="shared" si="24"/>
        <v>0</v>
      </c>
    </row>
    <row r="136" spans="2:16" ht="12.5">
      <c r="B136" s="160" t="str">
        <f t="shared" si="12"/>
        <v/>
      </c>
      <c r="C136" s="473">
        <f>IF(D93="","-",+C135+1)</f>
        <v>2051</v>
      </c>
      <c r="D136" s="347">
        <f>IF(F135+SUM(E$99:E135)=D$92,F135,D$92-SUM(E$99:E135))</f>
        <v>264022.23666666634</v>
      </c>
      <c r="E136" s="485">
        <f t="shared" si="14"/>
        <v>54796</v>
      </c>
      <c r="F136" s="486">
        <f t="shared" si="15"/>
        <v>209226.23666666634</v>
      </c>
      <c r="G136" s="486">
        <f t="shared" si="16"/>
        <v>236624.23666666634</v>
      </c>
      <c r="H136" s="489">
        <f t="shared" si="17"/>
        <v>79195.277710955881</v>
      </c>
      <c r="I136" s="543">
        <f t="shared" si="18"/>
        <v>79195.277710955881</v>
      </c>
      <c r="J136" s="479">
        <f t="shared" si="13"/>
        <v>0</v>
      </c>
      <c r="K136" s="479"/>
      <c r="L136" s="488"/>
      <c r="M136" s="479">
        <f t="shared" si="22"/>
        <v>0</v>
      </c>
      <c r="N136" s="488"/>
      <c r="O136" s="479">
        <f t="shared" si="23"/>
        <v>0</v>
      </c>
      <c r="P136" s="479">
        <f t="shared" si="24"/>
        <v>0</v>
      </c>
    </row>
    <row r="137" spans="2:16" ht="12.5">
      <c r="B137" s="160" t="str">
        <f t="shared" si="12"/>
        <v/>
      </c>
      <c r="C137" s="473">
        <f>IF(D93="","-",+C136+1)</f>
        <v>2052</v>
      </c>
      <c r="D137" s="347">
        <f>IF(F136+SUM(E$99:E136)=D$92,F136,D$92-SUM(E$99:E136))</f>
        <v>209226.23666666634</v>
      </c>
      <c r="E137" s="485">
        <f t="shared" si="14"/>
        <v>54796</v>
      </c>
      <c r="F137" s="486">
        <f t="shared" si="15"/>
        <v>154430.23666666634</v>
      </c>
      <c r="G137" s="486">
        <f t="shared" si="16"/>
        <v>181828.23666666634</v>
      </c>
      <c r="H137" s="489">
        <f t="shared" si="17"/>
        <v>73545.041537841651</v>
      </c>
      <c r="I137" s="543">
        <f t="shared" si="18"/>
        <v>73545.041537841651</v>
      </c>
      <c r="J137" s="479">
        <f t="shared" si="13"/>
        <v>0</v>
      </c>
      <c r="K137" s="479"/>
      <c r="L137" s="488"/>
      <c r="M137" s="479">
        <f t="shared" si="22"/>
        <v>0</v>
      </c>
      <c r="N137" s="488"/>
      <c r="O137" s="479">
        <f t="shared" si="23"/>
        <v>0</v>
      </c>
      <c r="P137" s="479">
        <f t="shared" si="24"/>
        <v>0</v>
      </c>
    </row>
    <row r="138" spans="2:16" ht="12.5">
      <c r="B138" s="160" t="str">
        <f t="shared" si="12"/>
        <v/>
      </c>
      <c r="C138" s="473">
        <f>IF(D93="","-",+C137+1)</f>
        <v>2053</v>
      </c>
      <c r="D138" s="347">
        <f>IF(F137+SUM(E$99:E137)=D$92,F137,D$92-SUM(E$99:E137))</f>
        <v>154430.23666666634</v>
      </c>
      <c r="E138" s="485">
        <f t="shared" si="14"/>
        <v>54796</v>
      </c>
      <c r="F138" s="486">
        <f t="shared" si="15"/>
        <v>99634.236666666344</v>
      </c>
      <c r="G138" s="486">
        <f t="shared" si="16"/>
        <v>127032.23666666634</v>
      </c>
      <c r="H138" s="489">
        <f t="shared" si="17"/>
        <v>67894.805364727436</v>
      </c>
      <c r="I138" s="543">
        <f t="shared" si="18"/>
        <v>67894.805364727436</v>
      </c>
      <c r="J138" s="479">
        <f t="shared" si="13"/>
        <v>0</v>
      </c>
      <c r="K138" s="479"/>
      <c r="L138" s="488"/>
      <c r="M138" s="479">
        <f t="shared" si="22"/>
        <v>0</v>
      </c>
      <c r="N138" s="488"/>
      <c r="O138" s="479">
        <f t="shared" si="23"/>
        <v>0</v>
      </c>
      <c r="P138" s="479">
        <f t="shared" si="24"/>
        <v>0</v>
      </c>
    </row>
    <row r="139" spans="2:16" ht="12.5">
      <c r="B139" s="160" t="str">
        <f t="shared" si="12"/>
        <v/>
      </c>
      <c r="C139" s="473">
        <f>IF(D93="","-",+C138+1)</f>
        <v>2054</v>
      </c>
      <c r="D139" s="347">
        <f>IF(F138+SUM(E$99:E138)=D$92,F138,D$92-SUM(E$99:E138))</f>
        <v>99634.236666666344</v>
      </c>
      <c r="E139" s="485">
        <f t="shared" si="14"/>
        <v>54796</v>
      </c>
      <c r="F139" s="486">
        <f t="shared" si="15"/>
        <v>44838.236666666344</v>
      </c>
      <c r="G139" s="486">
        <f t="shared" si="16"/>
        <v>72236.236666666344</v>
      </c>
      <c r="H139" s="489">
        <f t="shared" si="17"/>
        <v>62244.56919161322</v>
      </c>
      <c r="I139" s="543">
        <f t="shared" si="18"/>
        <v>62244.56919161322</v>
      </c>
      <c r="J139" s="479">
        <f t="shared" si="13"/>
        <v>0</v>
      </c>
      <c r="K139" s="479"/>
      <c r="L139" s="488"/>
      <c r="M139" s="479">
        <f t="shared" si="22"/>
        <v>0</v>
      </c>
      <c r="N139" s="488"/>
      <c r="O139" s="479">
        <f t="shared" si="23"/>
        <v>0</v>
      </c>
      <c r="P139" s="479">
        <f t="shared" si="24"/>
        <v>0</v>
      </c>
    </row>
    <row r="140" spans="2:16" ht="12.5">
      <c r="B140" s="160" t="str">
        <f t="shared" si="12"/>
        <v/>
      </c>
      <c r="C140" s="473">
        <f>IF(D93="","-",+C139+1)</f>
        <v>2055</v>
      </c>
      <c r="D140" s="347">
        <f>IF(F139+SUM(E$99:E139)=D$92,F139,D$92-SUM(E$99:E139))</f>
        <v>44838.236666666344</v>
      </c>
      <c r="E140" s="485">
        <f t="shared" si="14"/>
        <v>44838.236666666344</v>
      </c>
      <c r="F140" s="486">
        <f t="shared" si="15"/>
        <v>0</v>
      </c>
      <c r="G140" s="486">
        <f t="shared" si="16"/>
        <v>22419.118333333172</v>
      </c>
      <c r="H140" s="489">
        <f t="shared" si="17"/>
        <v>47149.9622191944</v>
      </c>
      <c r="I140" s="543">
        <f t="shared" si="18"/>
        <v>47149.9622191944</v>
      </c>
      <c r="J140" s="479">
        <f t="shared" si="13"/>
        <v>0</v>
      </c>
      <c r="K140" s="479"/>
      <c r="L140" s="488"/>
      <c r="M140" s="479">
        <f t="shared" si="22"/>
        <v>0</v>
      </c>
      <c r="N140" s="488"/>
      <c r="O140" s="479">
        <f t="shared" si="23"/>
        <v>0</v>
      </c>
      <c r="P140" s="479">
        <f t="shared" si="24"/>
        <v>0</v>
      </c>
    </row>
    <row r="141" spans="2:16" ht="12.5">
      <c r="B141" s="160" t="str">
        <f t="shared" si="12"/>
        <v/>
      </c>
      <c r="C141" s="473">
        <f>IF(D93="","-",+C140+1)</f>
        <v>2056</v>
      </c>
      <c r="D141" s="347">
        <f>IF(F140+SUM(E$99:E140)=D$92,F140,D$92-SUM(E$99:E140))</f>
        <v>0</v>
      </c>
      <c r="E141" s="485">
        <f t="shared" si="14"/>
        <v>0</v>
      </c>
      <c r="F141" s="486">
        <f t="shared" si="15"/>
        <v>0</v>
      </c>
      <c r="G141" s="486">
        <f t="shared" si="16"/>
        <v>0</v>
      </c>
      <c r="H141" s="489">
        <f t="shared" si="17"/>
        <v>0</v>
      </c>
      <c r="I141" s="543">
        <f t="shared" si="18"/>
        <v>0</v>
      </c>
      <c r="J141" s="479">
        <f t="shared" si="13"/>
        <v>0</v>
      </c>
      <c r="K141" s="479"/>
      <c r="L141" s="488"/>
      <c r="M141" s="479">
        <f t="shared" si="22"/>
        <v>0</v>
      </c>
      <c r="N141" s="488"/>
      <c r="O141" s="479">
        <f t="shared" si="23"/>
        <v>0</v>
      </c>
      <c r="P141" s="479">
        <f t="shared" si="24"/>
        <v>0</v>
      </c>
    </row>
    <row r="142" spans="2:16" ht="12.5">
      <c r="B142" s="160" t="str">
        <f t="shared" si="12"/>
        <v/>
      </c>
      <c r="C142" s="473">
        <f>IF(D93="","-",+C141+1)</f>
        <v>2057</v>
      </c>
      <c r="D142" s="347">
        <f>IF(F141+SUM(E$99:E141)=D$92,F141,D$92-SUM(E$99:E141))</f>
        <v>0</v>
      </c>
      <c r="E142" s="485">
        <f t="shared" si="14"/>
        <v>0</v>
      </c>
      <c r="F142" s="486">
        <f t="shared" si="15"/>
        <v>0</v>
      </c>
      <c r="G142" s="486">
        <f t="shared" si="16"/>
        <v>0</v>
      </c>
      <c r="H142" s="489">
        <f t="shared" si="17"/>
        <v>0</v>
      </c>
      <c r="I142" s="543">
        <f t="shared" si="18"/>
        <v>0</v>
      </c>
      <c r="J142" s="479">
        <f t="shared" si="13"/>
        <v>0</v>
      </c>
      <c r="K142" s="479"/>
      <c r="L142" s="488"/>
      <c r="M142" s="479">
        <f t="shared" si="22"/>
        <v>0</v>
      </c>
      <c r="N142" s="488"/>
      <c r="O142" s="479">
        <f t="shared" si="23"/>
        <v>0</v>
      </c>
      <c r="P142" s="479">
        <f t="shared" si="24"/>
        <v>0</v>
      </c>
    </row>
    <row r="143" spans="2:16" ht="12.5">
      <c r="B143" s="160" t="str">
        <f t="shared" si="12"/>
        <v/>
      </c>
      <c r="C143" s="473">
        <f>IF(D93="","-",+C142+1)</f>
        <v>2058</v>
      </c>
      <c r="D143" s="347">
        <f>IF(F142+SUM(E$99:E142)=D$92,F142,D$92-SUM(E$99:E142))</f>
        <v>0</v>
      </c>
      <c r="E143" s="485">
        <f t="shared" si="14"/>
        <v>0</v>
      </c>
      <c r="F143" s="486">
        <f t="shared" si="15"/>
        <v>0</v>
      </c>
      <c r="G143" s="486">
        <f t="shared" si="16"/>
        <v>0</v>
      </c>
      <c r="H143" s="489">
        <f t="shared" si="17"/>
        <v>0</v>
      </c>
      <c r="I143" s="543">
        <f t="shared" si="18"/>
        <v>0</v>
      </c>
      <c r="J143" s="479">
        <f t="shared" si="13"/>
        <v>0</v>
      </c>
      <c r="K143" s="479"/>
      <c r="L143" s="488"/>
      <c r="M143" s="479">
        <f t="shared" si="22"/>
        <v>0</v>
      </c>
      <c r="N143" s="488"/>
      <c r="O143" s="479">
        <f t="shared" si="23"/>
        <v>0</v>
      </c>
      <c r="P143" s="479">
        <f t="shared" si="24"/>
        <v>0</v>
      </c>
    </row>
    <row r="144" spans="2:16" ht="12.5">
      <c r="B144" s="160" t="str">
        <f t="shared" si="12"/>
        <v/>
      </c>
      <c r="C144" s="473">
        <f>IF(D93="","-",+C143+1)</f>
        <v>2059</v>
      </c>
      <c r="D144" s="347">
        <f>IF(F143+SUM(E$99:E143)=D$92,F143,D$92-SUM(E$99:E143))</f>
        <v>0</v>
      </c>
      <c r="E144" s="485">
        <f t="shared" si="14"/>
        <v>0</v>
      </c>
      <c r="F144" s="486">
        <f t="shared" si="15"/>
        <v>0</v>
      </c>
      <c r="G144" s="486">
        <f t="shared" si="16"/>
        <v>0</v>
      </c>
      <c r="H144" s="489">
        <f t="shared" si="17"/>
        <v>0</v>
      </c>
      <c r="I144" s="543">
        <f t="shared" si="18"/>
        <v>0</v>
      </c>
      <c r="J144" s="479">
        <f t="shared" si="13"/>
        <v>0</v>
      </c>
      <c r="K144" s="479"/>
      <c r="L144" s="488"/>
      <c r="M144" s="479">
        <f t="shared" si="22"/>
        <v>0</v>
      </c>
      <c r="N144" s="488"/>
      <c r="O144" s="479">
        <f t="shared" si="23"/>
        <v>0</v>
      </c>
      <c r="P144" s="479">
        <f t="shared" si="24"/>
        <v>0</v>
      </c>
    </row>
    <row r="145" spans="2:16" ht="12.5">
      <c r="B145" s="160" t="str">
        <f t="shared" si="12"/>
        <v/>
      </c>
      <c r="C145" s="473">
        <f>IF(D93="","-",+C144+1)</f>
        <v>2060</v>
      </c>
      <c r="D145" s="347">
        <f>IF(F144+SUM(E$99:E144)=D$92,F144,D$92-SUM(E$99:E144))</f>
        <v>0</v>
      </c>
      <c r="E145" s="485">
        <f t="shared" si="14"/>
        <v>0</v>
      </c>
      <c r="F145" s="486">
        <f t="shared" si="15"/>
        <v>0</v>
      </c>
      <c r="G145" s="486">
        <f t="shared" si="16"/>
        <v>0</v>
      </c>
      <c r="H145" s="489">
        <f t="shared" si="17"/>
        <v>0</v>
      </c>
      <c r="I145" s="543">
        <f t="shared" si="18"/>
        <v>0</v>
      </c>
      <c r="J145" s="479">
        <f t="shared" si="13"/>
        <v>0</v>
      </c>
      <c r="K145" s="479"/>
      <c r="L145" s="488"/>
      <c r="M145" s="479">
        <f t="shared" si="22"/>
        <v>0</v>
      </c>
      <c r="N145" s="488"/>
      <c r="O145" s="479">
        <f t="shared" si="23"/>
        <v>0</v>
      </c>
      <c r="P145" s="479">
        <f t="shared" si="24"/>
        <v>0</v>
      </c>
    </row>
    <row r="146" spans="2:16" ht="12.5">
      <c r="B146" s="160" t="str">
        <f t="shared" si="12"/>
        <v/>
      </c>
      <c r="C146" s="473">
        <f>IF(D93="","-",+C145+1)</f>
        <v>2061</v>
      </c>
      <c r="D146" s="347">
        <f>IF(F145+SUM(E$99:E145)=D$92,F145,D$92-SUM(E$99:E145))</f>
        <v>0</v>
      </c>
      <c r="E146" s="485">
        <f t="shared" si="14"/>
        <v>0</v>
      </c>
      <c r="F146" s="486">
        <f t="shared" si="15"/>
        <v>0</v>
      </c>
      <c r="G146" s="486">
        <f t="shared" si="16"/>
        <v>0</v>
      </c>
      <c r="H146" s="489">
        <f t="shared" si="17"/>
        <v>0</v>
      </c>
      <c r="I146" s="543">
        <f t="shared" si="18"/>
        <v>0</v>
      </c>
      <c r="J146" s="479">
        <f t="shared" si="13"/>
        <v>0</v>
      </c>
      <c r="K146" s="479"/>
      <c r="L146" s="488"/>
      <c r="M146" s="479">
        <f t="shared" si="22"/>
        <v>0</v>
      </c>
      <c r="N146" s="488"/>
      <c r="O146" s="479">
        <f t="shared" si="23"/>
        <v>0</v>
      </c>
      <c r="P146" s="479">
        <f t="shared" si="24"/>
        <v>0</v>
      </c>
    </row>
    <row r="147" spans="2:16" ht="12.5">
      <c r="B147" s="160" t="str">
        <f t="shared" si="12"/>
        <v/>
      </c>
      <c r="C147" s="473">
        <f>IF(D93="","-",+C146+1)</f>
        <v>2062</v>
      </c>
      <c r="D147" s="347">
        <f>IF(F146+SUM(E$99:E146)=D$92,F146,D$92-SUM(E$99:E146))</f>
        <v>0</v>
      </c>
      <c r="E147" s="485">
        <f t="shared" si="14"/>
        <v>0</v>
      </c>
      <c r="F147" s="486">
        <f t="shared" si="15"/>
        <v>0</v>
      </c>
      <c r="G147" s="486">
        <f t="shared" si="16"/>
        <v>0</v>
      </c>
      <c r="H147" s="489">
        <f t="shared" si="17"/>
        <v>0</v>
      </c>
      <c r="I147" s="543">
        <f t="shared" si="18"/>
        <v>0</v>
      </c>
      <c r="J147" s="479">
        <f t="shared" si="13"/>
        <v>0</v>
      </c>
      <c r="K147" s="479"/>
      <c r="L147" s="488"/>
      <c r="M147" s="479">
        <f t="shared" si="22"/>
        <v>0</v>
      </c>
      <c r="N147" s="488"/>
      <c r="O147" s="479">
        <f t="shared" si="23"/>
        <v>0</v>
      </c>
      <c r="P147" s="479">
        <f t="shared" si="24"/>
        <v>0</v>
      </c>
    </row>
    <row r="148" spans="2:16" ht="12.5">
      <c r="B148" s="160" t="str">
        <f t="shared" si="12"/>
        <v/>
      </c>
      <c r="C148" s="473">
        <f>IF(D93="","-",+C147+1)</f>
        <v>2063</v>
      </c>
      <c r="D148" s="347">
        <f>IF(F147+SUM(E$99:E147)=D$92,F147,D$92-SUM(E$99:E147))</f>
        <v>0</v>
      </c>
      <c r="E148" s="485">
        <f t="shared" si="14"/>
        <v>0</v>
      </c>
      <c r="F148" s="486">
        <f t="shared" si="15"/>
        <v>0</v>
      </c>
      <c r="G148" s="486">
        <f t="shared" si="16"/>
        <v>0</v>
      </c>
      <c r="H148" s="489">
        <f t="shared" si="17"/>
        <v>0</v>
      </c>
      <c r="I148" s="543">
        <f t="shared" si="18"/>
        <v>0</v>
      </c>
      <c r="J148" s="479">
        <f t="shared" si="13"/>
        <v>0</v>
      </c>
      <c r="K148" s="479"/>
      <c r="L148" s="488"/>
      <c r="M148" s="479">
        <f t="shared" si="22"/>
        <v>0</v>
      </c>
      <c r="N148" s="488"/>
      <c r="O148" s="479">
        <f t="shared" si="23"/>
        <v>0</v>
      </c>
      <c r="P148" s="479">
        <f t="shared" si="24"/>
        <v>0</v>
      </c>
    </row>
    <row r="149" spans="2:16" ht="12.5">
      <c r="B149" s="160" t="str">
        <f t="shared" si="12"/>
        <v/>
      </c>
      <c r="C149" s="473">
        <f>IF(D93="","-",+C148+1)</f>
        <v>2064</v>
      </c>
      <c r="D149" s="347">
        <f>IF(F148+SUM(E$99:E148)=D$92,F148,D$92-SUM(E$99:E148))</f>
        <v>0</v>
      </c>
      <c r="E149" s="485">
        <f t="shared" si="14"/>
        <v>0</v>
      </c>
      <c r="F149" s="486">
        <f t="shared" si="15"/>
        <v>0</v>
      </c>
      <c r="G149" s="486">
        <f t="shared" si="16"/>
        <v>0</v>
      </c>
      <c r="H149" s="489">
        <f t="shared" si="17"/>
        <v>0</v>
      </c>
      <c r="I149" s="543">
        <f t="shared" si="18"/>
        <v>0</v>
      </c>
      <c r="J149" s="479">
        <f t="shared" si="13"/>
        <v>0</v>
      </c>
      <c r="K149" s="479"/>
      <c r="L149" s="488"/>
      <c r="M149" s="479">
        <f t="shared" si="22"/>
        <v>0</v>
      </c>
      <c r="N149" s="488"/>
      <c r="O149" s="479">
        <f t="shared" si="23"/>
        <v>0</v>
      </c>
      <c r="P149" s="479">
        <f t="shared" si="24"/>
        <v>0</v>
      </c>
    </row>
    <row r="150" spans="2:16" ht="12.5">
      <c r="B150" s="160" t="str">
        <f t="shared" si="12"/>
        <v/>
      </c>
      <c r="C150" s="473">
        <f>IF(D93="","-",+C149+1)</f>
        <v>2065</v>
      </c>
      <c r="D150" s="347">
        <f>IF(F149+SUM(E$99:E149)=D$92,F149,D$92-SUM(E$99:E149))</f>
        <v>0</v>
      </c>
      <c r="E150" s="485">
        <f t="shared" si="14"/>
        <v>0</v>
      </c>
      <c r="F150" s="486">
        <f t="shared" si="15"/>
        <v>0</v>
      </c>
      <c r="G150" s="486">
        <f t="shared" si="16"/>
        <v>0</v>
      </c>
      <c r="H150" s="489">
        <f t="shared" si="17"/>
        <v>0</v>
      </c>
      <c r="I150" s="543">
        <f t="shared" si="18"/>
        <v>0</v>
      </c>
      <c r="J150" s="479">
        <f t="shared" si="13"/>
        <v>0</v>
      </c>
      <c r="K150" s="479"/>
      <c r="L150" s="488"/>
      <c r="M150" s="479">
        <f t="shared" si="22"/>
        <v>0</v>
      </c>
      <c r="N150" s="488"/>
      <c r="O150" s="479">
        <f t="shared" si="23"/>
        <v>0</v>
      </c>
      <c r="P150" s="479">
        <f t="shared" si="24"/>
        <v>0</v>
      </c>
    </row>
    <row r="151" spans="2:16" ht="12.5">
      <c r="B151" s="160" t="str">
        <f t="shared" si="12"/>
        <v/>
      </c>
      <c r="C151" s="473">
        <f>IF(D93="","-",+C150+1)</f>
        <v>2066</v>
      </c>
      <c r="D151" s="347">
        <f>IF(F150+SUM(E$99:E150)=D$92,F150,D$92-SUM(E$99:E150))</f>
        <v>0</v>
      </c>
      <c r="E151" s="485">
        <f t="shared" si="14"/>
        <v>0</v>
      </c>
      <c r="F151" s="486">
        <f t="shared" si="15"/>
        <v>0</v>
      </c>
      <c r="G151" s="486">
        <f t="shared" si="16"/>
        <v>0</v>
      </c>
      <c r="H151" s="489">
        <f t="shared" si="17"/>
        <v>0</v>
      </c>
      <c r="I151" s="543">
        <f t="shared" si="18"/>
        <v>0</v>
      </c>
      <c r="J151" s="479">
        <f t="shared" si="13"/>
        <v>0</v>
      </c>
      <c r="K151" s="479"/>
      <c r="L151" s="488"/>
      <c r="M151" s="479">
        <f t="shared" si="22"/>
        <v>0</v>
      </c>
      <c r="N151" s="488"/>
      <c r="O151" s="479">
        <f t="shared" si="23"/>
        <v>0</v>
      </c>
      <c r="P151" s="479">
        <f t="shared" si="24"/>
        <v>0</v>
      </c>
    </row>
    <row r="152" spans="2:16" ht="12.5">
      <c r="B152" s="160" t="str">
        <f t="shared" si="12"/>
        <v/>
      </c>
      <c r="C152" s="473">
        <f>IF(D93="","-",+C151+1)</f>
        <v>2067</v>
      </c>
      <c r="D152" s="347">
        <f>IF(F151+SUM(E$99:E151)=D$92,F151,D$92-SUM(E$99:E151))</f>
        <v>0</v>
      </c>
      <c r="E152" s="485">
        <f t="shared" si="14"/>
        <v>0</v>
      </c>
      <c r="F152" s="486">
        <f t="shared" si="15"/>
        <v>0</v>
      </c>
      <c r="G152" s="486">
        <f t="shared" si="16"/>
        <v>0</v>
      </c>
      <c r="H152" s="489">
        <f t="shared" si="17"/>
        <v>0</v>
      </c>
      <c r="I152" s="543">
        <f t="shared" si="18"/>
        <v>0</v>
      </c>
      <c r="J152" s="479">
        <f t="shared" si="13"/>
        <v>0</v>
      </c>
      <c r="K152" s="479"/>
      <c r="L152" s="488"/>
      <c r="M152" s="479">
        <f t="shared" si="22"/>
        <v>0</v>
      </c>
      <c r="N152" s="488"/>
      <c r="O152" s="479">
        <f t="shared" si="23"/>
        <v>0</v>
      </c>
      <c r="P152" s="479">
        <f t="shared" si="24"/>
        <v>0</v>
      </c>
    </row>
    <row r="153" spans="2:16" ht="12.5">
      <c r="B153" s="160" t="str">
        <f t="shared" si="12"/>
        <v/>
      </c>
      <c r="C153" s="473">
        <f>IF(D93="","-",+C152+1)</f>
        <v>2068</v>
      </c>
      <c r="D153" s="347">
        <f>IF(F152+SUM(E$99:E152)=D$92,F152,D$92-SUM(E$99:E152))</f>
        <v>0</v>
      </c>
      <c r="E153" s="485">
        <f t="shared" si="14"/>
        <v>0</v>
      </c>
      <c r="F153" s="486">
        <f t="shared" si="15"/>
        <v>0</v>
      </c>
      <c r="G153" s="486">
        <f t="shared" si="16"/>
        <v>0</v>
      </c>
      <c r="H153" s="489">
        <f t="shared" si="17"/>
        <v>0</v>
      </c>
      <c r="I153" s="543">
        <f t="shared" si="18"/>
        <v>0</v>
      </c>
      <c r="J153" s="479">
        <f t="shared" si="13"/>
        <v>0</v>
      </c>
      <c r="K153" s="479"/>
      <c r="L153" s="488"/>
      <c r="M153" s="479">
        <f t="shared" si="22"/>
        <v>0</v>
      </c>
      <c r="N153" s="488"/>
      <c r="O153" s="479">
        <f t="shared" si="23"/>
        <v>0</v>
      </c>
      <c r="P153" s="479">
        <f t="shared" si="24"/>
        <v>0</v>
      </c>
    </row>
    <row r="154" spans="2:16" ht="13" thickBot="1">
      <c r="B154" s="160" t="str">
        <f t="shared" si="12"/>
        <v/>
      </c>
      <c r="C154" s="490">
        <f>IF(D93="","-",+C153+1)</f>
        <v>2069</v>
      </c>
      <c r="D154" s="347">
        <f>IF(F153+SUM(E$99:E153)=D$92,F153,D$92-SUM(E$99:E153))</f>
        <v>0</v>
      </c>
      <c r="E154" s="485">
        <f t="shared" si="14"/>
        <v>0</v>
      </c>
      <c r="F154" s="486">
        <f t="shared" si="15"/>
        <v>0</v>
      </c>
      <c r="G154" s="486">
        <f t="shared" si="16"/>
        <v>0</v>
      </c>
      <c r="H154" s="489">
        <f t="shared" si="17"/>
        <v>0</v>
      </c>
      <c r="I154" s="543">
        <f t="shared" si="18"/>
        <v>0</v>
      </c>
      <c r="J154" s="479">
        <f t="shared" si="13"/>
        <v>0</v>
      </c>
      <c r="K154" s="479"/>
      <c r="L154" s="495"/>
      <c r="M154" s="496">
        <f t="shared" si="22"/>
        <v>0</v>
      </c>
      <c r="N154" s="495"/>
      <c r="O154" s="496">
        <f t="shared" si="23"/>
        <v>0</v>
      </c>
      <c r="P154" s="496">
        <f t="shared" si="24"/>
        <v>0</v>
      </c>
    </row>
    <row r="155" spans="2:16" ht="12.5">
      <c r="C155" s="347" t="s">
        <v>77</v>
      </c>
      <c r="D155" s="348"/>
      <c r="E155" s="348">
        <f>SUM(E99:E154)</f>
        <v>2246628.5699999998</v>
      </c>
      <c r="F155" s="348"/>
      <c r="G155" s="348"/>
      <c r="H155" s="348">
        <f>SUM(H99:H154)</f>
        <v>7282683.1005476015</v>
      </c>
      <c r="I155" s="348">
        <f>SUM(I99:I154)</f>
        <v>7282683.1005476015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tabSelected="1" view="pageBreakPreview" topLeftCell="E1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16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637218.97874084802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637218.97874084802</v>
      </c>
      <c r="O6" s="233"/>
      <c r="P6" s="233"/>
    </row>
    <row r="7" spans="1:16" ht="13.5" thickBot="1">
      <c r="C7" s="432" t="s">
        <v>46</v>
      </c>
      <c r="D7" s="600" t="s">
        <v>255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254</v>
      </c>
      <c r="E9" s="578" t="s">
        <v>262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5059278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2014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112428.4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2014</v>
      </c>
      <c r="D17" s="585">
        <v>5300000</v>
      </c>
      <c r="E17" s="609">
        <v>0</v>
      </c>
      <c r="F17" s="585">
        <v>5300000</v>
      </c>
      <c r="G17" s="609">
        <v>729591.46876123699</v>
      </c>
      <c r="H17" s="588">
        <v>729591.46876123699</v>
      </c>
      <c r="I17" s="476">
        <v>0</v>
      </c>
      <c r="J17" s="476"/>
      <c r="K17" s="477">
        <f t="shared" ref="K17:K22" si="0">G17</f>
        <v>729591.46876123699</v>
      </c>
      <c r="L17" s="604">
        <f t="shared" ref="L17:L22" si="1">IF(K17&lt;&gt;0,+G17-K17,0)</f>
        <v>0</v>
      </c>
      <c r="M17" s="477">
        <f t="shared" ref="M17:M22" si="2">H17</f>
        <v>729591.46876123699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2015</v>
      </c>
      <c r="D18" s="585">
        <v>5300000</v>
      </c>
      <c r="E18" s="586">
        <v>101923.07692307692</v>
      </c>
      <c r="F18" s="585">
        <v>5198076.923076923</v>
      </c>
      <c r="G18" s="586">
        <v>818590.55430690572</v>
      </c>
      <c r="H18" s="588">
        <v>818590.55430690572</v>
      </c>
      <c r="I18" s="476">
        <v>0</v>
      </c>
      <c r="J18" s="476"/>
      <c r="K18" s="477">
        <f t="shared" si="0"/>
        <v>818590.55430690572</v>
      </c>
      <c r="L18" s="604">
        <f t="shared" si="1"/>
        <v>0</v>
      </c>
      <c r="M18" s="477">
        <f t="shared" si="2"/>
        <v>818590.55430690572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2016</v>
      </c>
      <c r="D19" s="585">
        <v>4969414.923076923</v>
      </c>
      <c r="E19" s="586">
        <v>97525.730769230766</v>
      </c>
      <c r="F19" s="585">
        <v>4871889.192307692</v>
      </c>
      <c r="G19" s="586">
        <v>736520.73076923075</v>
      </c>
      <c r="H19" s="588">
        <v>736520.73076923075</v>
      </c>
      <c r="I19" s="476">
        <f>H19-G19</f>
        <v>0</v>
      </c>
      <c r="J19" s="476"/>
      <c r="K19" s="477">
        <f t="shared" si="0"/>
        <v>736520.73076923075</v>
      </c>
      <c r="L19" s="604">
        <f t="shared" si="1"/>
        <v>0</v>
      </c>
      <c r="M19" s="477">
        <f t="shared" si="2"/>
        <v>736520.73076923075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3">IF(D20=F19,"","IU")</f>
        <v>IU</v>
      </c>
      <c r="C20" s="473">
        <f>IF(D11="","-",+C19+1)</f>
        <v>2017</v>
      </c>
      <c r="D20" s="585">
        <v>4859829.192307692</v>
      </c>
      <c r="E20" s="586">
        <v>109984.30434782608</v>
      </c>
      <c r="F20" s="585">
        <v>4749844.8879598659</v>
      </c>
      <c r="G20" s="586">
        <v>714452.30434782605</v>
      </c>
      <c r="H20" s="588">
        <v>714452.30434782605</v>
      </c>
      <c r="I20" s="476">
        <f t="shared" ref="I20:I72" si="4">H20-G20</f>
        <v>0</v>
      </c>
      <c r="J20" s="476"/>
      <c r="K20" s="477">
        <f t="shared" si="0"/>
        <v>714452.30434782605</v>
      </c>
      <c r="L20" s="604">
        <f t="shared" si="1"/>
        <v>0</v>
      </c>
      <c r="M20" s="477">
        <f t="shared" si="2"/>
        <v>714452.30434782605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3"/>
        <v/>
      </c>
      <c r="C21" s="473">
        <f>IF(D11="","-",+C20+1)</f>
        <v>2018</v>
      </c>
      <c r="D21" s="585">
        <v>4749844.8879598659</v>
      </c>
      <c r="E21" s="586">
        <v>112428.4</v>
      </c>
      <c r="F21" s="585">
        <v>4637416.4879598655</v>
      </c>
      <c r="G21" s="586">
        <v>674532.63926355843</v>
      </c>
      <c r="H21" s="588">
        <v>674532.63926355843</v>
      </c>
      <c r="I21" s="476">
        <f t="shared" si="4"/>
        <v>0</v>
      </c>
      <c r="J21" s="476"/>
      <c r="K21" s="477">
        <f t="shared" si="0"/>
        <v>674532.63926355843</v>
      </c>
      <c r="L21" s="604">
        <f t="shared" si="1"/>
        <v>0</v>
      </c>
      <c r="M21" s="477">
        <f t="shared" si="2"/>
        <v>674532.63926355843</v>
      </c>
      <c r="N21" s="479">
        <f>IF(M21&lt;&gt;0,+H21-M21,0)</f>
        <v>0</v>
      </c>
      <c r="O21" s="476">
        <f>+N21-L21</f>
        <v>0</v>
      </c>
      <c r="P21" s="243"/>
    </row>
    <row r="22" spans="2:16" ht="12.5">
      <c r="B22" s="160" t="str">
        <f t="shared" si="3"/>
        <v/>
      </c>
      <c r="C22" s="473">
        <f>IF(D11="","-",+C21+1)</f>
        <v>2019</v>
      </c>
      <c r="D22" s="585">
        <v>4637416.4879598655</v>
      </c>
      <c r="E22" s="586">
        <v>126481.95</v>
      </c>
      <c r="F22" s="585">
        <v>4510934.5379598653</v>
      </c>
      <c r="G22" s="586">
        <v>637218.97874084802</v>
      </c>
      <c r="H22" s="588">
        <v>637218.97874084802</v>
      </c>
      <c r="I22" s="476">
        <f t="shared" si="4"/>
        <v>0</v>
      </c>
      <c r="J22" s="476"/>
      <c r="K22" s="477">
        <f t="shared" si="0"/>
        <v>637218.97874084802</v>
      </c>
      <c r="L22" s="604">
        <f t="shared" si="1"/>
        <v>0</v>
      </c>
      <c r="M22" s="477">
        <f t="shared" si="2"/>
        <v>637218.97874084802</v>
      </c>
      <c r="N22" s="479">
        <f t="shared" ref="N22:N72" si="5">IF(M22&lt;&gt;0,+H22-M22,0)</f>
        <v>0</v>
      </c>
      <c r="O22" s="479">
        <f t="shared" ref="O22:O72" si="6">+N22-L22</f>
        <v>0</v>
      </c>
      <c r="P22" s="243"/>
    </row>
    <row r="23" spans="2:16" ht="12.5">
      <c r="B23" s="160" t="str">
        <f t="shared" si="3"/>
        <v/>
      </c>
      <c r="C23" s="473">
        <f>IF(D11="","-",+C22+1)</f>
        <v>2020</v>
      </c>
      <c r="D23" s="486">
        <f>IF(F22+SUM(E$17:E22)=D$10,F22,D$10-SUM(E$17:E22))</f>
        <v>4510934.5379598653</v>
      </c>
      <c r="E23" s="485">
        <f t="shared" ref="E23:E72" si="7">IF(+$I$14&lt;F22,$I$14,D23)</f>
        <v>112428.4</v>
      </c>
      <c r="F23" s="486">
        <f t="shared" ref="F23:F72" si="8">+D23-E23</f>
        <v>4398506.1379598649</v>
      </c>
      <c r="G23" s="487">
        <f t="shared" ref="G23:G72" si="9">ROUND(I$12*F23,0)+E23</f>
        <v>707702.4</v>
      </c>
      <c r="H23" s="456">
        <f t="shared" ref="H23:H72" si="10">ROUND(I$13*F23,0)+E23</f>
        <v>707702.4</v>
      </c>
      <c r="I23" s="476">
        <f t="shared" si="4"/>
        <v>0</v>
      </c>
      <c r="J23" s="476"/>
      <c r="K23" s="488"/>
      <c r="L23" s="479">
        <f t="shared" ref="L23:L72" si="11">IF(K23&lt;&gt;0,+G23-K23,0)</f>
        <v>0</v>
      </c>
      <c r="M23" s="488"/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3"/>
        <v/>
      </c>
      <c r="C24" s="473">
        <f>IF(D11="","-",+C23+1)</f>
        <v>2021</v>
      </c>
      <c r="D24" s="486">
        <f>IF(F23+SUM(E$17:E23)=D$10,F23,D$10-SUM(E$17:E23))</f>
        <v>4398506.1379598649</v>
      </c>
      <c r="E24" s="485">
        <f t="shared" si="7"/>
        <v>112428.4</v>
      </c>
      <c r="F24" s="486">
        <f t="shared" si="8"/>
        <v>4286077.7379598645</v>
      </c>
      <c r="G24" s="487">
        <f t="shared" si="9"/>
        <v>692486.4</v>
      </c>
      <c r="H24" s="456">
        <f t="shared" si="10"/>
        <v>692486.4</v>
      </c>
      <c r="I24" s="476">
        <f t="shared" si="4"/>
        <v>0</v>
      </c>
      <c r="J24" s="476"/>
      <c r="K24" s="488"/>
      <c r="L24" s="479">
        <f t="shared" si="11"/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3"/>
        <v/>
      </c>
      <c r="C25" s="473">
        <f>IF(D11="","-",+C24+1)</f>
        <v>2022</v>
      </c>
      <c r="D25" s="486">
        <f>IF(F24+SUM(E$17:E24)=D$10,F24,D$10-SUM(E$17:E24))</f>
        <v>4286077.7379598645</v>
      </c>
      <c r="E25" s="485">
        <f t="shared" si="7"/>
        <v>112428.4</v>
      </c>
      <c r="F25" s="486">
        <f t="shared" si="8"/>
        <v>4173649.3379598646</v>
      </c>
      <c r="G25" s="487">
        <f t="shared" si="9"/>
        <v>677271.4</v>
      </c>
      <c r="H25" s="456">
        <f t="shared" si="10"/>
        <v>677271.4</v>
      </c>
      <c r="I25" s="476">
        <f t="shared" si="4"/>
        <v>0</v>
      </c>
      <c r="J25" s="476"/>
      <c r="K25" s="488"/>
      <c r="L25" s="479">
        <f t="shared" si="11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3"/>
        <v/>
      </c>
      <c r="C26" s="473">
        <f>IF(D11="","-",+C25+1)</f>
        <v>2023</v>
      </c>
      <c r="D26" s="486">
        <f>IF(F25+SUM(E$17:E25)=D$10,F25,D$10-SUM(E$17:E25))</f>
        <v>4173649.3379598646</v>
      </c>
      <c r="E26" s="485">
        <f t="shared" si="7"/>
        <v>112428.4</v>
      </c>
      <c r="F26" s="486">
        <f t="shared" si="8"/>
        <v>4061220.9379598647</v>
      </c>
      <c r="G26" s="487">
        <f t="shared" si="9"/>
        <v>662055.4</v>
      </c>
      <c r="H26" s="456">
        <f t="shared" si="10"/>
        <v>662055.4</v>
      </c>
      <c r="I26" s="476">
        <f t="shared" si="4"/>
        <v>0</v>
      </c>
      <c r="J26" s="476"/>
      <c r="K26" s="488"/>
      <c r="L26" s="479">
        <f t="shared" si="11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3"/>
        <v/>
      </c>
      <c r="C27" s="473">
        <f>IF(D11="","-",+C26+1)</f>
        <v>2024</v>
      </c>
      <c r="D27" s="486">
        <f>IF(F26+SUM(E$17:E26)=D$10,F26,D$10-SUM(E$17:E26))</f>
        <v>4061220.9379598647</v>
      </c>
      <c r="E27" s="485">
        <f t="shared" si="7"/>
        <v>112428.4</v>
      </c>
      <c r="F27" s="486">
        <f t="shared" si="8"/>
        <v>3948792.5379598648</v>
      </c>
      <c r="G27" s="487">
        <f t="shared" si="9"/>
        <v>646839.4</v>
      </c>
      <c r="H27" s="456">
        <f t="shared" si="10"/>
        <v>646839.4</v>
      </c>
      <c r="I27" s="476">
        <f t="shared" si="4"/>
        <v>0</v>
      </c>
      <c r="J27" s="476"/>
      <c r="K27" s="488"/>
      <c r="L27" s="479">
        <f t="shared" si="11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3"/>
        <v/>
      </c>
      <c r="C28" s="473">
        <f>IF(D11="","-",+C27+1)</f>
        <v>2025</v>
      </c>
      <c r="D28" s="486">
        <f>IF(F27+SUM(E$17:E27)=D$10,F27,D$10-SUM(E$17:E27))</f>
        <v>3948792.5379598648</v>
      </c>
      <c r="E28" s="485">
        <f t="shared" si="7"/>
        <v>112428.4</v>
      </c>
      <c r="F28" s="486">
        <f t="shared" si="8"/>
        <v>3836364.1379598649</v>
      </c>
      <c r="G28" s="487">
        <f t="shared" si="9"/>
        <v>631624.4</v>
      </c>
      <c r="H28" s="456">
        <f t="shared" si="10"/>
        <v>631624.4</v>
      </c>
      <c r="I28" s="476">
        <f t="shared" si="4"/>
        <v>0</v>
      </c>
      <c r="J28" s="476"/>
      <c r="K28" s="488"/>
      <c r="L28" s="479">
        <f t="shared" si="11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3"/>
        <v/>
      </c>
      <c r="C29" s="473">
        <f>IF(D11="","-",+C28+1)</f>
        <v>2026</v>
      </c>
      <c r="D29" s="486">
        <f>IF(F28+SUM(E$17:E28)=D$10,F28,D$10-SUM(E$17:E28))</f>
        <v>3836364.1379598649</v>
      </c>
      <c r="E29" s="485">
        <f t="shared" si="7"/>
        <v>112428.4</v>
      </c>
      <c r="F29" s="486">
        <f t="shared" si="8"/>
        <v>3723935.737959865</v>
      </c>
      <c r="G29" s="487">
        <f t="shared" si="9"/>
        <v>616408.4</v>
      </c>
      <c r="H29" s="456">
        <f t="shared" si="10"/>
        <v>616408.4</v>
      </c>
      <c r="I29" s="476">
        <f t="shared" si="4"/>
        <v>0</v>
      </c>
      <c r="J29" s="476"/>
      <c r="K29" s="488"/>
      <c r="L29" s="479">
        <f t="shared" si="11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3"/>
        <v/>
      </c>
      <c r="C30" s="473">
        <f>IF(D11="","-",+C29+1)</f>
        <v>2027</v>
      </c>
      <c r="D30" s="486">
        <f>IF(F29+SUM(E$17:E29)=D$10,F29,D$10-SUM(E$17:E29))</f>
        <v>3723935.737959865</v>
      </c>
      <c r="E30" s="485">
        <f t="shared" si="7"/>
        <v>112428.4</v>
      </c>
      <c r="F30" s="486">
        <f t="shared" si="8"/>
        <v>3611507.3379598651</v>
      </c>
      <c r="G30" s="487">
        <f t="shared" si="9"/>
        <v>601193.4</v>
      </c>
      <c r="H30" s="456">
        <f t="shared" si="10"/>
        <v>601193.4</v>
      </c>
      <c r="I30" s="476">
        <f t="shared" si="4"/>
        <v>0</v>
      </c>
      <c r="J30" s="476"/>
      <c r="K30" s="488"/>
      <c r="L30" s="479">
        <f t="shared" si="11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3"/>
        <v/>
      </c>
      <c r="C31" s="473">
        <f>IF(D11="","-",+C30+1)</f>
        <v>2028</v>
      </c>
      <c r="D31" s="486">
        <f>IF(F30+SUM(E$17:E30)=D$10,F30,D$10-SUM(E$17:E30))</f>
        <v>3611507.3379598651</v>
      </c>
      <c r="E31" s="485">
        <f t="shared" si="7"/>
        <v>112428.4</v>
      </c>
      <c r="F31" s="486">
        <f t="shared" si="8"/>
        <v>3499078.9379598652</v>
      </c>
      <c r="G31" s="487">
        <f t="shared" si="9"/>
        <v>585977.4</v>
      </c>
      <c r="H31" s="456">
        <f t="shared" si="10"/>
        <v>585977.4</v>
      </c>
      <c r="I31" s="476">
        <f t="shared" si="4"/>
        <v>0</v>
      </c>
      <c r="J31" s="476"/>
      <c r="K31" s="488"/>
      <c r="L31" s="479">
        <f t="shared" si="11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3"/>
        <v/>
      </c>
      <c r="C32" s="473">
        <f>IF(D11="","-",+C31+1)</f>
        <v>2029</v>
      </c>
      <c r="D32" s="486">
        <f>IF(F31+SUM(E$17:E31)=D$10,F31,D$10-SUM(E$17:E31))</f>
        <v>3499078.9379598652</v>
      </c>
      <c r="E32" s="485">
        <f t="shared" si="7"/>
        <v>112428.4</v>
      </c>
      <c r="F32" s="486">
        <f t="shared" si="8"/>
        <v>3386650.5379598653</v>
      </c>
      <c r="G32" s="487">
        <f t="shared" si="9"/>
        <v>570762.4</v>
      </c>
      <c r="H32" s="456">
        <f t="shared" si="10"/>
        <v>570762.4</v>
      </c>
      <c r="I32" s="476">
        <f t="shared" si="4"/>
        <v>0</v>
      </c>
      <c r="J32" s="476"/>
      <c r="K32" s="488"/>
      <c r="L32" s="479">
        <f t="shared" si="11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3"/>
        <v/>
      </c>
      <c r="C33" s="473">
        <f>IF(D11="","-",+C32+1)</f>
        <v>2030</v>
      </c>
      <c r="D33" s="486">
        <f>IF(F32+SUM(E$17:E32)=D$10,F32,D$10-SUM(E$17:E32))</f>
        <v>3386650.5379598653</v>
      </c>
      <c r="E33" s="485">
        <f t="shared" si="7"/>
        <v>112428.4</v>
      </c>
      <c r="F33" s="486">
        <f t="shared" si="8"/>
        <v>3274222.1379598654</v>
      </c>
      <c r="G33" s="487">
        <f t="shared" si="9"/>
        <v>555546.4</v>
      </c>
      <c r="H33" s="456">
        <f t="shared" si="10"/>
        <v>555546.4</v>
      </c>
      <c r="I33" s="476">
        <f t="shared" si="4"/>
        <v>0</v>
      </c>
      <c r="J33" s="476"/>
      <c r="K33" s="488"/>
      <c r="L33" s="479">
        <f t="shared" si="11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3"/>
        <v/>
      </c>
      <c r="C34" s="473">
        <f>IF(D11="","-",+C33+1)</f>
        <v>2031</v>
      </c>
      <c r="D34" s="486">
        <f>IF(F33+SUM(E$17:E33)=D$10,F33,D$10-SUM(E$17:E33))</f>
        <v>3274222.1379598654</v>
      </c>
      <c r="E34" s="485">
        <f t="shared" si="7"/>
        <v>112428.4</v>
      </c>
      <c r="F34" s="486">
        <f t="shared" si="8"/>
        <v>3161793.7379598655</v>
      </c>
      <c r="G34" s="487">
        <f t="shared" si="9"/>
        <v>540331.4</v>
      </c>
      <c r="H34" s="456">
        <f t="shared" si="10"/>
        <v>540331.4</v>
      </c>
      <c r="I34" s="476">
        <f t="shared" si="4"/>
        <v>0</v>
      </c>
      <c r="J34" s="476"/>
      <c r="K34" s="488"/>
      <c r="L34" s="479">
        <f t="shared" si="11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3"/>
        <v/>
      </c>
      <c r="C35" s="473">
        <f>IF(D11="","-",+C34+1)</f>
        <v>2032</v>
      </c>
      <c r="D35" s="486">
        <f>IF(F34+SUM(E$17:E34)=D$10,F34,D$10-SUM(E$17:E34))</f>
        <v>3161793.7379598655</v>
      </c>
      <c r="E35" s="485">
        <f t="shared" si="7"/>
        <v>112428.4</v>
      </c>
      <c r="F35" s="486">
        <f t="shared" si="8"/>
        <v>3049365.3379598656</v>
      </c>
      <c r="G35" s="487">
        <f t="shared" si="9"/>
        <v>525115.4</v>
      </c>
      <c r="H35" s="456">
        <f t="shared" si="10"/>
        <v>525115.4</v>
      </c>
      <c r="I35" s="476">
        <f t="shared" si="4"/>
        <v>0</v>
      </c>
      <c r="J35" s="476"/>
      <c r="K35" s="488"/>
      <c r="L35" s="479">
        <f t="shared" si="11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3"/>
        <v/>
      </c>
      <c r="C36" s="473">
        <f>IF(D11="","-",+C35+1)</f>
        <v>2033</v>
      </c>
      <c r="D36" s="486">
        <f>IF(F35+SUM(E$17:E35)=D$10,F35,D$10-SUM(E$17:E35))</f>
        <v>3049365.3379598656</v>
      </c>
      <c r="E36" s="485">
        <f t="shared" si="7"/>
        <v>112428.4</v>
      </c>
      <c r="F36" s="486">
        <f t="shared" si="8"/>
        <v>2936936.9379598657</v>
      </c>
      <c r="G36" s="487">
        <f t="shared" si="9"/>
        <v>509900.4</v>
      </c>
      <c r="H36" s="456">
        <f t="shared" si="10"/>
        <v>509900.4</v>
      </c>
      <c r="I36" s="476">
        <f t="shared" si="4"/>
        <v>0</v>
      </c>
      <c r="J36" s="476"/>
      <c r="K36" s="488"/>
      <c r="L36" s="479">
        <f t="shared" si="11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3"/>
        <v/>
      </c>
      <c r="C37" s="473">
        <f>IF(D11="","-",+C36+1)</f>
        <v>2034</v>
      </c>
      <c r="D37" s="486">
        <f>IF(F36+SUM(E$17:E36)=D$10,F36,D$10-SUM(E$17:E36))</f>
        <v>2936936.9379598657</v>
      </c>
      <c r="E37" s="485">
        <f t="shared" si="7"/>
        <v>112428.4</v>
      </c>
      <c r="F37" s="486">
        <f t="shared" si="8"/>
        <v>2824508.5379598658</v>
      </c>
      <c r="G37" s="487">
        <f t="shared" si="9"/>
        <v>494684.4</v>
      </c>
      <c r="H37" s="456">
        <f t="shared" si="10"/>
        <v>494684.4</v>
      </c>
      <c r="I37" s="476">
        <f t="shared" si="4"/>
        <v>0</v>
      </c>
      <c r="J37" s="476"/>
      <c r="K37" s="488"/>
      <c r="L37" s="479">
        <f t="shared" si="11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3"/>
        <v/>
      </c>
      <c r="C38" s="473">
        <f>IF(D11="","-",+C37+1)</f>
        <v>2035</v>
      </c>
      <c r="D38" s="486">
        <f>IF(F37+SUM(E$17:E37)=D$10,F37,D$10-SUM(E$17:E37))</f>
        <v>2824508.5379598658</v>
      </c>
      <c r="E38" s="485">
        <f t="shared" si="7"/>
        <v>112428.4</v>
      </c>
      <c r="F38" s="486">
        <f t="shared" si="8"/>
        <v>2712080.1379598659</v>
      </c>
      <c r="G38" s="487">
        <f t="shared" si="9"/>
        <v>479468.4</v>
      </c>
      <c r="H38" s="456">
        <f t="shared" si="10"/>
        <v>479468.4</v>
      </c>
      <c r="I38" s="476">
        <f t="shared" si="4"/>
        <v>0</v>
      </c>
      <c r="J38" s="476"/>
      <c r="K38" s="488"/>
      <c r="L38" s="479">
        <f t="shared" si="11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3"/>
        <v/>
      </c>
      <c r="C39" s="473">
        <f>IF(D11="","-",+C38+1)</f>
        <v>2036</v>
      </c>
      <c r="D39" s="486">
        <f>IF(F38+SUM(E$17:E38)=D$10,F38,D$10-SUM(E$17:E38))</f>
        <v>2712080.1379598659</v>
      </c>
      <c r="E39" s="485">
        <f t="shared" si="7"/>
        <v>112428.4</v>
      </c>
      <c r="F39" s="486">
        <f t="shared" si="8"/>
        <v>2599651.7379598659</v>
      </c>
      <c r="G39" s="487">
        <f t="shared" si="9"/>
        <v>464253.4</v>
      </c>
      <c r="H39" s="456">
        <f t="shared" si="10"/>
        <v>464253.4</v>
      </c>
      <c r="I39" s="476">
        <f t="shared" si="4"/>
        <v>0</v>
      </c>
      <c r="J39" s="476"/>
      <c r="K39" s="488"/>
      <c r="L39" s="479">
        <f t="shared" si="11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3"/>
        <v/>
      </c>
      <c r="C40" s="473">
        <f>IF(D11="","-",+C39+1)</f>
        <v>2037</v>
      </c>
      <c r="D40" s="486">
        <f>IF(F39+SUM(E$17:E39)=D$10,F39,D$10-SUM(E$17:E39))</f>
        <v>2599651.7379598659</v>
      </c>
      <c r="E40" s="485">
        <f t="shared" si="7"/>
        <v>112428.4</v>
      </c>
      <c r="F40" s="486">
        <f t="shared" si="8"/>
        <v>2487223.337959866</v>
      </c>
      <c r="G40" s="487">
        <f t="shared" si="9"/>
        <v>449037.4</v>
      </c>
      <c r="H40" s="456">
        <f t="shared" si="10"/>
        <v>449037.4</v>
      </c>
      <c r="I40" s="476">
        <f t="shared" si="4"/>
        <v>0</v>
      </c>
      <c r="J40" s="476"/>
      <c r="K40" s="488"/>
      <c r="L40" s="479">
        <f t="shared" si="11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3"/>
        <v/>
      </c>
      <c r="C41" s="473">
        <f>IF(D11="","-",+C40+1)</f>
        <v>2038</v>
      </c>
      <c r="D41" s="486">
        <f>IF(F40+SUM(E$17:E40)=D$10,F40,D$10-SUM(E$17:E40))</f>
        <v>2487223.337959866</v>
      </c>
      <c r="E41" s="485">
        <f t="shared" si="7"/>
        <v>112428.4</v>
      </c>
      <c r="F41" s="486">
        <f t="shared" si="8"/>
        <v>2374794.9379598661</v>
      </c>
      <c r="G41" s="487">
        <f t="shared" si="9"/>
        <v>433822.4</v>
      </c>
      <c r="H41" s="456">
        <f t="shared" si="10"/>
        <v>433822.4</v>
      </c>
      <c r="I41" s="476">
        <f t="shared" si="4"/>
        <v>0</v>
      </c>
      <c r="J41" s="476"/>
      <c r="K41" s="488"/>
      <c r="L41" s="479">
        <f t="shared" si="11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3"/>
        <v/>
      </c>
      <c r="C42" s="473">
        <f>IF(D11="","-",+C41+1)</f>
        <v>2039</v>
      </c>
      <c r="D42" s="486">
        <f>IF(F41+SUM(E$17:E41)=D$10,F41,D$10-SUM(E$17:E41))</f>
        <v>2374794.9379598661</v>
      </c>
      <c r="E42" s="485">
        <f t="shared" si="7"/>
        <v>112428.4</v>
      </c>
      <c r="F42" s="486">
        <f t="shared" si="8"/>
        <v>2262366.5379598662</v>
      </c>
      <c r="G42" s="487">
        <f t="shared" si="9"/>
        <v>418606.4</v>
      </c>
      <c r="H42" s="456">
        <f t="shared" si="10"/>
        <v>418606.4</v>
      </c>
      <c r="I42" s="476">
        <f t="shared" si="4"/>
        <v>0</v>
      </c>
      <c r="J42" s="476"/>
      <c r="K42" s="488"/>
      <c r="L42" s="479">
        <f t="shared" si="11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3"/>
        <v/>
      </c>
      <c r="C43" s="473">
        <f>IF(D11="","-",+C42+1)</f>
        <v>2040</v>
      </c>
      <c r="D43" s="486">
        <f>IF(F42+SUM(E$17:E42)=D$10,F42,D$10-SUM(E$17:E42))</f>
        <v>2262366.5379598662</v>
      </c>
      <c r="E43" s="485">
        <f t="shared" si="7"/>
        <v>112428.4</v>
      </c>
      <c r="F43" s="486">
        <f t="shared" si="8"/>
        <v>2149938.1379598663</v>
      </c>
      <c r="G43" s="487">
        <f t="shared" si="9"/>
        <v>403391.4</v>
      </c>
      <c r="H43" s="456">
        <f t="shared" si="10"/>
        <v>403391.4</v>
      </c>
      <c r="I43" s="476">
        <f t="shared" si="4"/>
        <v>0</v>
      </c>
      <c r="J43" s="476"/>
      <c r="K43" s="488"/>
      <c r="L43" s="479">
        <f t="shared" si="11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3"/>
        <v/>
      </c>
      <c r="C44" s="473">
        <f>IF(D11="","-",+C43+1)</f>
        <v>2041</v>
      </c>
      <c r="D44" s="486">
        <f>IF(F43+SUM(E$17:E43)=D$10,F43,D$10-SUM(E$17:E43))</f>
        <v>2149938.1379598663</v>
      </c>
      <c r="E44" s="485">
        <f t="shared" si="7"/>
        <v>112428.4</v>
      </c>
      <c r="F44" s="486">
        <f t="shared" si="8"/>
        <v>2037509.7379598664</v>
      </c>
      <c r="G44" s="487">
        <f t="shared" si="9"/>
        <v>388175.4</v>
      </c>
      <c r="H44" s="456">
        <f t="shared" si="10"/>
        <v>388175.4</v>
      </c>
      <c r="I44" s="476">
        <f t="shared" si="4"/>
        <v>0</v>
      </c>
      <c r="J44" s="476"/>
      <c r="K44" s="488"/>
      <c r="L44" s="479">
        <f t="shared" si="11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3"/>
        <v/>
      </c>
      <c r="C45" s="473">
        <f>IF(D11="","-",+C44+1)</f>
        <v>2042</v>
      </c>
      <c r="D45" s="486">
        <f>IF(F44+SUM(E$17:E44)=D$10,F44,D$10-SUM(E$17:E44))</f>
        <v>2037509.7379598664</v>
      </c>
      <c r="E45" s="485">
        <f t="shared" si="7"/>
        <v>112428.4</v>
      </c>
      <c r="F45" s="486">
        <f t="shared" si="8"/>
        <v>1925081.3379598665</v>
      </c>
      <c r="G45" s="487">
        <f t="shared" si="9"/>
        <v>372960.4</v>
      </c>
      <c r="H45" s="456">
        <f t="shared" si="10"/>
        <v>372960.4</v>
      </c>
      <c r="I45" s="476">
        <f t="shared" si="4"/>
        <v>0</v>
      </c>
      <c r="J45" s="476"/>
      <c r="K45" s="488"/>
      <c r="L45" s="479">
        <f t="shared" si="11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3"/>
        <v/>
      </c>
      <c r="C46" s="473">
        <f>IF(D11="","-",+C45+1)</f>
        <v>2043</v>
      </c>
      <c r="D46" s="486">
        <f>IF(F45+SUM(E$17:E45)=D$10,F45,D$10-SUM(E$17:E45))</f>
        <v>1925081.3379598665</v>
      </c>
      <c r="E46" s="485">
        <f t="shared" si="7"/>
        <v>112428.4</v>
      </c>
      <c r="F46" s="486">
        <f t="shared" si="8"/>
        <v>1812652.9379598666</v>
      </c>
      <c r="G46" s="487">
        <f t="shared" si="9"/>
        <v>357744.4</v>
      </c>
      <c r="H46" s="456">
        <f t="shared" si="10"/>
        <v>357744.4</v>
      </c>
      <c r="I46" s="476">
        <f t="shared" si="4"/>
        <v>0</v>
      </c>
      <c r="J46" s="476"/>
      <c r="K46" s="488"/>
      <c r="L46" s="479">
        <f t="shared" si="11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3"/>
        <v/>
      </c>
      <c r="C47" s="473">
        <f>IF(D11="","-",+C46+1)</f>
        <v>2044</v>
      </c>
      <c r="D47" s="486">
        <f>IF(F46+SUM(E$17:E46)=D$10,F46,D$10-SUM(E$17:E46))</f>
        <v>1812652.9379598666</v>
      </c>
      <c r="E47" s="485">
        <f t="shared" si="7"/>
        <v>112428.4</v>
      </c>
      <c r="F47" s="486">
        <f t="shared" si="8"/>
        <v>1700224.5379598667</v>
      </c>
      <c r="G47" s="487">
        <f t="shared" si="9"/>
        <v>342529.4</v>
      </c>
      <c r="H47" s="456">
        <f t="shared" si="10"/>
        <v>342529.4</v>
      </c>
      <c r="I47" s="476">
        <f t="shared" si="4"/>
        <v>0</v>
      </c>
      <c r="J47" s="476"/>
      <c r="K47" s="488"/>
      <c r="L47" s="479">
        <f t="shared" si="11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3"/>
        <v/>
      </c>
      <c r="C48" s="473">
        <f>IF(D11="","-",+C47+1)</f>
        <v>2045</v>
      </c>
      <c r="D48" s="486">
        <f>IF(F47+SUM(E$17:E47)=D$10,F47,D$10-SUM(E$17:E47))</f>
        <v>1700224.5379598667</v>
      </c>
      <c r="E48" s="485">
        <f t="shared" si="7"/>
        <v>112428.4</v>
      </c>
      <c r="F48" s="486">
        <f t="shared" si="8"/>
        <v>1587796.1379598668</v>
      </c>
      <c r="G48" s="487">
        <f t="shared" si="9"/>
        <v>327313.40000000002</v>
      </c>
      <c r="H48" s="456">
        <f t="shared" si="10"/>
        <v>327313.40000000002</v>
      </c>
      <c r="I48" s="476">
        <f t="shared" si="4"/>
        <v>0</v>
      </c>
      <c r="J48" s="476"/>
      <c r="K48" s="488"/>
      <c r="L48" s="479">
        <f t="shared" si="11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3"/>
        <v/>
      </c>
      <c r="C49" s="473">
        <f>IF(D11="","-",+C48+1)</f>
        <v>2046</v>
      </c>
      <c r="D49" s="486">
        <f>IF(F48+SUM(E$17:E48)=D$10,F48,D$10-SUM(E$17:E48))</f>
        <v>1587796.1379598668</v>
      </c>
      <c r="E49" s="485">
        <f t="shared" si="7"/>
        <v>112428.4</v>
      </c>
      <c r="F49" s="486">
        <f t="shared" si="8"/>
        <v>1475367.7379598669</v>
      </c>
      <c r="G49" s="487">
        <f t="shared" si="9"/>
        <v>312097.40000000002</v>
      </c>
      <c r="H49" s="456">
        <f t="shared" si="10"/>
        <v>312097.40000000002</v>
      </c>
      <c r="I49" s="476">
        <f t="shared" si="4"/>
        <v>0</v>
      </c>
      <c r="J49" s="476"/>
      <c r="K49" s="488"/>
      <c r="L49" s="479">
        <f t="shared" si="11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3"/>
        <v/>
      </c>
      <c r="C50" s="473">
        <f>IF(D11="","-",+C49+1)</f>
        <v>2047</v>
      </c>
      <c r="D50" s="486">
        <f>IF(F49+SUM(E$17:E49)=D$10,F49,D$10-SUM(E$17:E49))</f>
        <v>1475367.7379598669</v>
      </c>
      <c r="E50" s="485">
        <f t="shared" si="7"/>
        <v>112428.4</v>
      </c>
      <c r="F50" s="486">
        <f t="shared" si="8"/>
        <v>1362939.337959867</v>
      </c>
      <c r="G50" s="487">
        <f t="shared" si="9"/>
        <v>296882.40000000002</v>
      </c>
      <c r="H50" s="456">
        <f t="shared" si="10"/>
        <v>296882.40000000002</v>
      </c>
      <c r="I50" s="476">
        <f t="shared" si="4"/>
        <v>0</v>
      </c>
      <c r="J50" s="476"/>
      <c r="K50" s="488"/>
      <c r="L50" s="479">
        <f t="shared" si="11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3"/>
        <v/>
      </c>
      <c r="C51" s="473">
        <f>IF(D11="","-",+C50+1)</f>
        <v>2048</v>
      </c>
      <c r="D51" s="486">
        <f>IF(F50+SUM(E$17:E50)=D$10,F50,D$10-SUM(E$17:E50))</f>
        <v>1362939.337959867</v>
      </c>
      <c r="E51" s="485">
        <f t="shared" si="7"/>
        <v>112428.4</v>
      </c>
      <c r="F51" s="486">
        <f t="shared" si="8"/>
        <v>1250510.9379598671</v>
      </c>
      <c r="G51" s="487">
        <f t="shared" si="9"/>
        <v>281666.40000000002</v>
      </c>
      <c r="H51" s="456">
        <f t="shared" si="10"/>
        <v>281666.40000000002</v>
      </c>
      <c r="I51" s="476">
        <f t="shared" si="4"/>
        <v>0</v>
      </c>
      <c r="J51" s="476"/>
      <c r="K51" s="488"/>
      <c r="L51" s="479">
        <f t="shared" si="11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3"/>
        <v/>
      </c>
      <c r="C52" s="473">
        <f>IF(D11="","-",+C51+1)</f>
        <v>2049</v>
      </c>
      <c r="D52" s="486">
        <f>IF(F51+SUM(E$17:E51)=D$10,F51,D$10-SUM(E$17:E51))</f>
        <v>1250510.9379598671</v>
      </c>
      <c r="E52" s="485">
        <f t="shared" si="7"/>
        <v>112428.4</v>
      </c>
      <c r="F52" s="486">
        <f t="shared" si="8"/>
        <v>1138082.5379598672</v>
      </c>
      <c r="G52" s="487">
        <f t="shared" si="9"/>
        <v>266451.40000000002</v>
      </c>
      <c r="H52" s="456">
        <f t="shared" si="10"/>
        <v>266451.40000000002</v>
      </c>
      <c r="I52" s="476">
        <f t="shared" si="4"/>
        <v>0</v>
      </c>
      <c r="J52" s="476"/>
      <c r="K52" s="488"/>
      <c r="L52" s="479">
        <f t="shared" si="11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3"/>
        <v/>
      </c>
      <c r="C53" s="473">
        <f>IF(D11="","-",+C52+1)</f>
        <v>2050</v>
      </c>
      <c r="D53" s="486">
        <f>IF(F52+SUM(E$17:E52)=D$10,F52,D$10-SUM(E$17:E52))</f>
        <v>1138082.5379598672</v>
      </c>
      <c r="E53" s="485">
        <f t="shared" si="7"/>
        <v>112428.4</v>
      </c>
      <c r="F53" s="486">
        <f t="shared" si="8"/>
        <v>1025654.1379598671</v>
      </c>
      <c r="G53" s="487">
        <f t="shared" si="9"/>
        <v>251235.4</v>
      </c>
      <c r="H53" s="456">
        <f t="shared" si="10"/>
        <v>251235.4</v>
      </c>
      <c r="I53" s="476">
        <f t="shared" si="4"/>
        <v>0</v>
      </c>
      <c r="J53" s="476"/>
      <c r="K53" s="488"/>
      <c r="L53" s="479">
        <f t="shared" si="11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3"/>
        <v/>
      </c>
      <c r="C54" s="473">
        <f>IF(D11="","-",+C53+1)</f>
        <v>2051</v>
      </c>
      <c r="D54" s="486">
        <f>IF(F53+SUM(E$17:E53)=D$10,F53,D$10-SUM(E$17:E53))</f>
        <v>1025654.1379598671</v>
      </c>
      <c r="E54" s="485">
        <f t="shared" si="7"/>
        <v>112428.4</v>
      </c>
      <c r="F54" s="486">
        <f t="shared" si="8"/>
        <v>913225.73795986711</v>
      </c>
      <c r="G54" s="487">
        <f t="shared" si="9"/>
        <v>236020.4</v>
      </c>
      <c r="H54" s="456">
        <f t="shared" si="10"/>
        <v>236020.4</v>
      </c>
      <c r="I54" s="476">
        <f t="shared" si="4"/>
        <v>0</v>
      </c>
      <c r="J54" s="476"/>
      <c r="K54" s="488"/>
      <c r="L54" s="479">
        <f t="shared" si="11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3"/>
        <v/>
      </c>
      <c r="C55" s="473">
        <f>IF(D11="","-",+C54+1)</f>
        <v>2052</v>
      </c>
      <c r="D55" s="486">
        <f>IF(F54+SUM(E$17:E54)=D$10,F54,D$10-SUM(E$17:E54))</f>
        <v>913225.73795986711</v>
      </c>
      <c r="E55" s="485">
        <f t="shared" si="7"/>
        <v>112428.4</v>
      </c>
      <c r="F55" s="486">
        <f t="shared" si="8"/>
        <v>800797.33795986709</v>
      </c>
      <c r="G55" s="487">
        <f t="shared" si="9"/>
        <v>220804.4</v>
      </c>
      <c r="H55" s="456">
        <f t="shared" si="10"/>
        <v>220804.4</v>
      </c>
      <c r="I55" s="476">
        <f t="shared" si="4"/>
        <v>0</v>
      </c>
      <c r="J55" s="476"/>
      <c r="K55" s="488"/>
      <c r="L55" s="479">
        <f t="shared" si="11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3"/>
        <v/>
      </c>
      <c r="C56" s="473">
        <f>IF(D11="","-",+C55+1)</f>
        <v>2053</v>
      </c>
      <c r="D56" s="486">
        <f>IF(F55+SUM(E$17:E55)=D$10,F55,D$10-SUM(E$17:E55))</f>
        <v>800797.33795986709</v>
      </c>
      <c r="E56" s="485">
        <f t="shared" si="7"/>
        <v>112428.4</v>
      </c>
      <c r="F56" s="486">
        <f t="shared" si="8"/>
        <v>688368.93795986706</v>
      </c>
      <c r="G56" s="487">
        <f t="shared" si="9"/>
        <v>205589.4</v>
      </c>
      <c r="H56" s="456">
        <f t="shared" si="10"/>
        <v>205589.4</v>
      </c>
      <c r="I56" s="476">
        <f t="shared" si="4"/>
        <v>0</v>
      </c>
      <c r="J56" s="476"/>
      <c r="K56" s="488"/>
      <c r="L56" s="479">
        <f t="shared" si="11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3"/>
        <v/>
      </c>
      <c r="C57" s="473">
        <f>IF(D11="","-",+C56+1)</f>
        <v>2054</v>
      </c>
      <c r="D57" s="486">
        <f>IF(F56+SUM(E$17:E56)=D$10,F56,D$10-SUM(E$17:E56))</f>
        <v>688368.93795986706</v>
      </c>
      <c r="E57" s="485">
        <f t="shared" si="7"/>
        <v>112428.4</v>
      </c>
      <c r="F57" s="486">
        <f t="shared" si="8"/>
        <v>575940.53795986704</v>
      </c>
      <c r="G57" s="487">
        <f t="shared" si="9"/>
        <v>190373.4</v>
      </c>
      <c r="H57" s="456">
        <f t="shared" si="10"/>
        <v>190373.4</v>
      </c>
      <c r="I57" s="476">
        <f t="shared" si="4"/>
        <v>0</v>
      </c>
      <c r="J57" s="476"/>
      <c r="K57" s="488"/>
      <c r="L57" s="479">
        <f t="shared" si="11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3"/>
        <v/>
      </c>
      <c r="C58" s="473">
        <f>IF(D11="","-",+C57+1)</f>
        <v>2055</v>
      </c>
      <c r="D58" s="486">
        <f>IF(F57+SUM(E$17:E57)=D$10,F57,D$10-SUM(E$17:E57))</f>
        <v>575940.53795986704</v>
      </c>
      <c r="E58" s="485">
        <f t="shared" si="7"/>
        <v>112428.4</v>
      </c>
      <c r="F58" s="486">
        <f t="shared" si="8"/>
        <v>463512.13795986702</v>
      </c>
      <c r="G58" s="487">
        <f t="shared" si="9"/>
        <v>175158.39999999999</v>
      </c>
      <c r="H58" s="456">
        <f t="shared" si="10"/>
        <v>175158.39999999999</v>
      </c>
      <c r="I58" s="476">
        <f t="shared" si="4"/>
        <v>0</v>
      </c>
      <c r="J58" s="476"/>
      <c r="K58" s="488"/>
      <c r="L58" s="479">
        <f t="shared" si="11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3"/>
        <v/>
      </c>
      <c r="C59" s="473">
        <f>IF(D11="","-",+C58+1)</f>
        <v>2056</v>
      </c>
      <c r="D59" s="486">
        <f>IF(F58+SUM(E$17:E58)=D$10,F58,D$10-SUM(E$17:E58))</f>
        <v>463512.13795986702</v>
      </c>
      <c r="E59" s="485">
        <f t="shared" si="7"/>
        <v>112428.4</v>
      </c>
      <c r="F59" s="486">
        <f t="shared" si="8"/>
        <v>351083.73795986699</v>
      </c>
      <c r="G59" s="487">
        <f t="shared" si="9"/>
        <v>159942.39999999999</v>
      </c>
      <c r="H59" s="456">
        <f t="shared" si="10"/>
        <v>159942.39999999999</v>
      </c>
      <c r="I59" s="476">
        <f t="shared" si="4"/>
        <v>0</v>
      </c>
      <c r="J59" s="476"/>
      <c r="K59" s="488"/>
      <c r="L59" s="479">
        <f t="shared" si="11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3"/>
        <v/>
      </c>
      <c r="C60" s="473">
        <f>IF(D11="","-",+C59+1)</f>
        <v>2057</v>
      </c>
      <c r="D60" s="486">
        <f>IF(F59+SUM(E$17:E59)=D$10,F59,D$10-SUM(E$17:E59))</f>
        <v>351083.73795986699</v>
      </c>
      <c r="E60" s="485">
        <f t="shared" si="7"/>
        <v>112428.4</v>
      </c>
      <c r="F60" s="486">
        <f t="shared" si="8"/>
        <v>238655.337959867</v>
      </c>
      <c r="G60" s="487">
        <f t="shared" si="9"/>
        <v>144727.4</v>
      </c>
      <c r="H60" s="456">
        <f t="shared" si="10"/>
        <v>144727.4</v>
      </c>
      <c r="I60" s="476">
        <f t="shared" si="4"/>
        <v>0</v>
      </c>
      <c r="J60" s="476"/>
      <c r="K60" s="488"/>
      <c r="L60" s="479">
        <f t="shared" si="11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3"/>
        <v/>
      </c>
      <c r="C61" s="473">
        <f>IF(D11="","-",+C60+1)</f>
        <v>2058</v>
      </c>
      <c r="D61" s="486">
        <f>IF(F60+SUM(E$17:E60)=D$10,F60,D$10-SUM(E$17:E60))</f>
        <v>238655.337959867</v>
      </c>
      <c r="E61" s="485">
        <f t="shared" si="7"/>
        <v>112428.4</v>
      </c>
      <c r="F61" s="486">
        <f t="shared" si="8"/>
        <v>126226.93795986701</v>
      </c>
      <c r="G61" s="487">
        <f t="shared" si="9"/>
        <v>129511.4</v>
      </c>
      <c r="H61" s="456">
        <f t="shared" si="10"/>
        <v>129511.4</v>
      </c>
      <c r="I61" s="476">
        <f t="shared" si="4"/>
        <v>0</v>
      </c>
      <c r="J61" s="476"/>
      <c r="K61" s="488"/>
      <c r="L61" s="479">
        <f t="shared" si="11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3"/>
        <v/>
      </c>
      <c r="C62" s="473">
        <f>IF(D11="","-",+C61+1)</f>
        <v>2059</v>
      </c>
      <c r="D62" s="486">
        <f>IF(F61+SUM(E$17:E61)=D$10,F61,D$10-SUM(E$17:E61))</f>
        <v>126226.93795986701</v>
      </c>
      <c r="E62" s="485">
        <f t="shared" si="7"/>
        <v>112428.4</v>
      </c>
      <c r="F62" s="486">
        <f t="shared" si="8"/>
        <v>13798.537959867012</v>
      </c>
      <c r="G62" s="487">
        <f t="shared" si="9"/>
        <v>114295.4</v>
      </c>
      <c r="H62" s="456">
        <f t="shared" si="10"/>
        <v>114295.4</v>
      </c>
      <c r="I62" s="476">
        <f t="shared" si="4"/>
        <v>0</v>
      </c>
      <c r="J62" s="476"/>
      <c r="K62" s="488"/>
      <c r="L62" s="479">
        <f t="shared" si="11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3"/>
        <v/>
      </c>
      <c r="C63" s="473">
        <f>IF(D11="","-",+C62+1)</f>
        <v>2060</v>
      </c>
      <c r="D63" s="486">
        <f>IF(F62+SUM(E$17:E62)=D$10,F62,D$10-SUM(E$17:E62))</f>
        <v>13798.537959867012</v>
      </c>
      <c r="E63" s="485">
        <f t="shared" si="7"/>
        <v>13798.537959867012</v>
      </c>
      <c r="F63" s="486">
        <f t="shared" si="8"/>
        <v>0</v>
      </c>
      <c r="G63" s="487">
        <f t="shared" si="9"/>
        <v>13798.537959867012</v>
      </c>
      <c r="H63" s="456">
        <f t="shared" si="10"/>
        <v>13798.537959867012</v>
      </c>
      <c r="I63" s="476">
        <f t="shared" si="4"/>
        <v>0</v>
      </c>
      <c r="J63" s="476"/>
      <c r="K63" s="488"/>
      <c r="L63" s="479">
        <f t="shared" si="11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3"/>
        <v/>
      </c>
      <c r="C64" s="473">
        <f>IF(D11="","-",+C63+1)</f>
        <v>2061</v>
      </c>
      <c r="D64" s="486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4"/>
        <v>0</v>
      </c>
      <c r="J64" s="476"/>
      <c r="K64" s="488"/>
      <c r="L64" s="479">
        <f t="shared" si="11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3"/>
        <v/>
      </c>
      <c r="C65" s="473">
        <f>IF(D11="","-",+C64+1)</f>
        <v>2062</v>
      </c>
      <c r="D65" s="486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4"/>
        <v>0</v>
      </c>
      <c r="J65" s="476"/>
      <c r="K65" s="488"/>
      <c r="L65" s="479">
        <f t="shared" si="11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3"/>
        <v/>
      </c>
      <c r="C66" s="473">
        <f>IF(D11="","-",+C65+1)</f>
        <v>2063</v>
      </c>
      <c r="D66" s="486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4"/>
        <v>0</v>
      </c>
      <c r="J66" s="476"/>
      <c r="K66" s="488"/>
      <c r="L66" s="479">
        <f t="shared" si="11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3"/>
        <v/>
      </c>
      <c r="C67" s="473">
        <f>IF(D11="","-",+C66+1)</f>
        <v>2064</v>
      </c>
      <c r="D67" s="486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4"/>
        <v>0</v>
      </c>
      <c r="J67" s="476"/>
      <c r="K67" s="488"/>
      <c r="L67" s="479">
        <f t="shared" si="11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3"/>
        <v/>
      </c>
      <c r="C68" s="473">
        <f>IF(D11="","-",+C67+1)</f>
        <v>2065</v>
      </c>
      <c r="D68" s="486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4"/>
        <v>0</v>
      </c>
      <c r="J68" s="476"/>
      <c r="K68" s="488"/>
      <c r="L68" s="479">
        <f t="shared" si="11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3"/>
        <v/>
      </c>
      <c r="C69" s="473">
        <f>IF(D11="","-",+C68+1)</f>
        <v>2066</v>
      </c>
      <c r="D69" s="486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4"/>
        <v>0</v>
      </c>
      <c r="J69" s="476"/>
      <c r="K69" s="488"/>
      <c r="L69" s="479">
        <f t="shared" si="11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3"/>
        <v/>
      </c>
      <c r="C70" s="473">
        <f>IF(D11="","-",+C69+1)</f>
        <v>2067</v>
      </c>
      <c r="D70" s="486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4"/>
        <v>0</v>
      </c>
      <c r="J70" s="476"/>
      <c r="K70" s="488"/>
      <c r="L70" s="479">
        <f t="shared" si="11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3"/>
        <v/>
      </c>
      <c r="C71" s="473">
        <f>IF(D11="","-",+C70+1)</f>
        <v>2068</v>
      </c>
      <c r="D71" s="486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4"/>
        <v>0</v>
      </c>
      <c r="J71" s="476"/>
      <c r="K71" s="488"/>
      <c r="L71" s="479">
        <f t="shared" si="11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3"/>
        <v/>
      </c>
      <c r="C72" s="490">
        <f>IF(D11="","-",+C71+1)</f>
        <v>2069</v>
      </c>
      <c r="D72" s="486">
        <f>IF(F71+SUM(E$17:E71)=D$10,F71,D$10-SUM(E$17:E71))</f>
        <v>0</v>
      </c>
      <c r="E72" s="485">
        <f t="shared" si="7"/>
        <v>0</v>
      </c>
      <c r="F72" s="486">
        <f t="shared" si="8"/>
        <v>0</v>
      </c>
      <c r="G72" s="487">
        <f t="shared" si="9"/>
        <v>0</v>
      </c>
      <c r="H72" s="456">
        <f t="shared" si="10"/>
        <v>0</v>
      </c>
      <c r="I72" s="476">
        <f t="shared" si="4"/>
        <v>0</v>
      </c>
      <c r="J72" s="476"/>
      <c r="K72" s="495"/>
      <c r="L72" s="496">
        <f t="shared" si="11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5059278.0000000009</v>
      </c>
      <c r="F73" s="348"/>
      <c r="G73" s="348">
        <f>SUM(G17:G72)</f>
        <v>20764662.214149456</v>
      </c>
      <c r="H73" s="348">
        <f>SUM(H17:H72)</f>
        <v>20764662.214149456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16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637218.97874084802</v>
      </c>
      <c r="N87" s="509">
        <f>IF(J92&lt;D11,0,VLOOKUP(J92,C17:O72,11))</f>
        <v>637218.97874084802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593847.268225985</v>
      </c>
      <c r="N88" s="513">
        <f>IF(J92&lt;D11,0,VLOOKUP(J92,C99:P154,7))</f>
        <v>593847.268225985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Cornville Station Conversion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-43371.710514863022</v>
      </c>
      <c r="N89" s="518">
        <f>+N88-N87</f>
        <v>-43371.710514863022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TP2011093</v>
      </c>
      <c r="E91" s="523" t="str">
        <f>E9</f>
        <v xml:space="preserve">  SPP Project ID = 30346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5059278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2014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123397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2014</v>
      </c>
      <c r="D99" s="585">
        <v>0</v>
      </c>
      <c r="E99" s="586">
        <v>0</v>
      </c>
      <c r="F99" s="587">
        <v>4992922.66</v>
      </c>
      <c r="G99" s="606">
        <v>2496461.33</v>
      </c>
      <c r="H99" s="607">
        <v>350992.25806989282</v>
      </c>
      <c r="I99" s="608">
        <v>350992.25806989282</v>
      </c>
      <c r="J99" s="479">
        <v>0</v>
      </c>
      <c r="K99" s="479"/>
      <c r="L99" s="477">
        <f>H99</f>
        <v>350992.25806989282</v>
      </c>
      <c r="M99" s="349">
        <f>IF(L99&lt;&gt;0,+H99-L99,0)</f>
        <v>0</v>
      </c>
      <c r="N99" s="477">
        <f>I99</f>
        <v>350992.25806989282</v>
      </c>
      <c r="O99" s="476">
        <f>IF(N99&lt;&gt;0,+I99-N99,0)</f>
        <v>0</v>
      </c>
      <c r="P99" s="479">
        <f>+O99-M99</f>
        <v>0</v>
      </c>
    </row>
    <row r="100" spans="1:16" ht="12.5">
      <c r="B100" s="160" t="str">
        <f>IF(D100=F99,"","IU")</f>
        <v>IU</v>
      </c>
      <c r="C100" s="473">
        <f>IF(D93="","-",+C99+1)</f>
        <v>2015</v>
      </c>
      <c r="D100" s="585">
        <v>5071338</v>
      </c>
      <c r="E100" s="586">
        <v>97526</v>
      </c>
      <c r="F100" s="587">
        <v>4973812</v>
      </c>
      <c r="G100" s="587">
        <v>5022575</v>
      </c>
      <c r="H100" s="607">
        <v>782815.97525692882</v>
      </c>
      <c r="I100" s="608">
        <v>782815.97525692882</v>
      </c>
      <c r="J100" s="479">
        <f>+I100-H100</f>
        <v>0</v>
      </c>
      <c r="K100" s="479"/>
      <c r="L100" s="477">
        <f>H100</f>
        <v>782815.97525692882</v>
      </c>
      <c r="M100" s="349">
        <f>IF(L100&lt;&gt;0,+H100-L100,0)</f>
        <v>0</v>
      </c>
      <c r="N100" s="477">
        <f>I100</f>
        <v>782815.97525692882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2">IF(D101=F100,"","IU")</f>
        <v>IU</v>
      </c>
      <c r="C101" s="473">
        <f>IF(D93="","-",+C100+1)</f>
        <v>2016</v>
      </c>
      <c r="D101" s="585">
        <v>4961752</v>
      </c>
      <c r="E101" s="586">
        <v>109984</v>
      </c>
      <c r="F101" s="587">
        <v>4851768</v>
      </c>
      <c r="G101" s="587">
        <v>4906760</v>
      </c>
      <c r="H101" s="607">
        <v>742542.63994670648</v>
      </c>
      <c r="I101" s="608">
        <v>742542.63994670648</v>
      </c>
      <c r="J101" s="479">
        <f t="shared" ref="J101:J154" si="13">+I101-H101</f>
        <v>0</v>
      </c>
      <c r="K101" s="479"/>
      <c r="L101" s="477">
        <f>H101</f>
        <v>742542.63994670648</v>
      </c>
      <c r="M101" s="349">
        <f>IF(L101&lt;&gt;0,+H101-L101,0)</f>
        <v>0</v>
      </c>
      <c r="N101" s="477">
        <f>I101</f>
        <v>742542.63994670648</v>
      </c>
      <c r="O101" s="476">
        <f>IF(N101&lt;&gt;0,+I101-N101,0)</f>
        <v>0</v>
      </c>
      <c r="P101" s="479">
        <f>+O101-M101</f>
        <v>0</v>
      </c>
    </row>
    <row r="102" spans="1:16" ht="12.5">
      <c r="B102" s="160" t="str">
        <f t="shared" si="12"/>
        <v/>
      </c>
      <c r="C102" s="473">
        <f>IF(D93="","-",+C101+1)</f>
        <v>2017</v>
      </c>
      <c r="D102" s="585">
        <v>4851768</v>
      </c>
      <c r="E102" s="586">
        <v>109984</v>
      </c>
      <c r="F102" s="587">
        <v>4741784</v>
      </c>
      <c r="G102" s="587">
        <v>4796776</v>
      </c>
      <c r="H102" s="607">
        <v>718467.13067498105</v>
      </c>
      <c r="I102" s="608">
        <v>718467.13067498105</v>
      </c>
      <c r="J102" s="479">
        <f t="shared" si="13"/>
        <v>0</v>
      </c>
      <c r="K102" s="479"/>
      <c r="L102" s="477">
        <f>H102</f>
        <v>718467.13067498105</v>
      </c>
      <c r="M102" s="349">
        <f>IF(L102&lt;&gt;0,+H102-L102,0)</f>
        <v>0</v>
      </c>
      <c r="N102" s="477">
        <f>I102</f>
        <v>718467.13067498105</v>
      </c>
      <c r="O102" s="476">
        <f>IF(N102&lt;&gt;0,+I102-N102,0)</f>
        <v>0</v>
      </c>
      <c r="P102" s="479">
        <f>+O102-M102</f>
        <v>0</v>
      </c>
    </row>
    <row r="103" spans="1:16" ht="12.5">
      <c r="B103" s="160" t="str">
        <f t="shared" si="12"/>
        <v/>
      </c>
      <c r="C103" s="473">
        <f>IF(D93="","-",+C102+1)</f>
        <v>2018</v>
      </c>
      <c r="D103" s="585">
        <v>4741784</v>
      </c>
      <c r="E103" s="586">
        <v>117658</v>
      </c>
      <c r="F103" s="587">
        <v>4624126</v>
      </c>
      <c r="G103" s="587">
        <v>4682955</v>
      </c>
      <c r="H103" s="607">
        <v>598764.03634994966</v>
      </c>
      <c r="I103" s="608">
        <v>598764.03634994966</v>
      </c>
      <c r="J103" s="479">
        <f t="shared" si="13"/>
        <v>0</v>
      </c>
      <c r="K103" s="479"/>
      <c r="L103" s="477">
        <f>H103</f>
        <v>598764.03634994966</v>
      </c>
      <c r="M103" s="349">
        <f>IF(L103&lt;&gt;0,+H103-L103,0)</f>
        <v>0</v>
      </c>
      <c r="N103" s="477">
        <f>I103</f>
        <v>598764.03634994966</v>
      </c>
      <c r="O103" s="476">
        <f>IF(N103&lt;&gt;0,+I103-N103,0)</f>
        <v>0</v>
      </c>
      <c r="P103" s="479">
        <f>+O103-M103</f>
        <v>0</v>
      </c>
    </row>
    <row r="104" spans="1:16" ht="12.5">
      <c r="B104" s="160" t="str">
        <f t="shared" si="12"/>
        <v/>
      </c>
      <c r="C104" s="473">
        <f>IF(D93="","-",+C103+1)</f>
        <v>2019</v>
      </c>
      <c r="D104" s="347">
        <f>IF(F103+SUM(E$99:E103)=D$92,F103,D$92-SUM(E$99:E103))</f>
        <v>4624126</v>
      </c>
      <c r="E104" s="485">
        <f t="shared" ref="E104:E154" si="14">IF(+J$96&lt;F103,J$96,D104)</f>
        <v>123397</v>
      </c>
      <c r="F104" s="486">
        <f t="shared" ref="F104:F154" si="15">+D104-E104</f>
        <v>4500729</v>
      </c>
      <c r="G104" s="486">
        <f t="shared" ref="G104:G154" si="16">+(F104+D104)/2</f>
        <v>4562427.5</v>
      </c>
      <c r="H104" s="489">
        <f t="shared" ref="H104:H154" si="17">+J$94*G104+E104</f>
        <v>593847.268225985</v>
      </c>
      <c r="I104" s="543">
        <f t="shared" ref="I104:I154" si="18">+J$95*G104+E104</f>
        <v>593847.268225985</v>
      </c>
      <c r="J104" s="479">
        <f t="shared" si="13"/>
        <v>0</v>
      </c>
      <c r="K104" s="479"/>
      <c r="L104" s="488"/>
      <c r="M104" s="479">
        <f t="shared" ref="M104:M130" si="19">IF(L104&lt;&gt;0,+H104-L104,0)</f>
        <v>0</v>
      </c>
      <c r="N104" s="488"/>
      <c r="O104" s="479">
        <f t="shared" ref="O104:O130" si="20">IF(N104&lt;&gt;0,+I104-N104,0)</f>
        <v>0</v>
      </c>
      <c r="P104" s="479">
        <f t="shared" ref="P104:P130" si="21">+O104-M104</f>
        <v>0</v>
      </c>
    </row>
    <row r="105" spans="1:16" ht="12.5">
      <c r="B105" s="160" t="str">
        <f t="shared" si="12"/>
        <v/>
      </c>
      <c r="C105" s="473">
        <f>IF(D93="","-",+C104+1)</f>
        <v>2020</v>
      </c>
      <c r="D105" s="347">
        <f>IF(F104+SUM(E$99:E104)=D$92,F104,D$92-SUM(E$99:E104))</f>
        <v>4500729</v>
      </c>
      <c r="E105" s="485">
        <f t="shared" si="14"/>
        <v>123397</v>
      </c>
      <c r="F105" s="486">
        <f t="shared" si="15"/>
        <v>4377332</v>
      </c>
      <c r="G105" s="486">
        <f t="shared" si="16"/>
        <v>4439030.5</v>
      </c>
      <c r="H105" s="489">
        <f t="shared" si="17"/>
        <v>581123.30674971337</v>
      </c>
      <c r="I105" s="543">
        <f t="shared" si="18"/>
        <v>581123.30674971337</v>
      </c>
      <c r="J105" s="479">
        <f t="shared" si="13"/>
        <v>0</v>
      </c>
      <c r="K105" s="479"/>
      <c r="L105" s="488"/>
      <c r="M105" s="479">
        <f t="shared" si="19"/>
        <v>0</v>
      </c>
      <c r="N105" s="488"/>
      <c r="O105" s="479">
        <f t="shared" si="20"/>
        <v>0</v>
      </c>
      <c r="P105" s="479">
        <f t="shared" si="21"/>
        <v>0</v>
      </c>
    </row>
    <row r="106" spans="1:16" ht="12.5">
      <c r="B106" s="160" t="str">
        <f t="shared" si="12"/>
        <v/>
      </c>
      <c r="C106" s="473">
        <f>IF(D93="","-",+C105+1)</f>
        <v>2021</v>
      </c>
      <c r="D106" s="347">
        <f>IF(F105+SUM(E$99:E105)=D$92,F105,D$92-SUM(E$99:E105))</f>
        <v>4377332</v>
      </c>
      <c r="E106" s="485">
        <f t="shared" si="14"/>
        <v>123397</v>
      </c>
      <c r="F106" s="486">
        <f t="shared" si="15"/>
        <v>4253935</v>
      </c>
      <c r="G106" s="486">
        <f t="shared" si="16"/>
        <v>4315633.5</v>
      </c>
      <c r="H106" s="489">
        <f t="shared" si="17"/>
        <v>568399.34527344187</v>
      </c>
      <c r="I106" s="543">
        <f t="shared" si="18"/>
        <v>568399.34527344187</v>
      </c>
      <c r="J106" s="479">
        <f t="shared" si="13"/>
        <v>0</v>
      </c>
      <c r="K106" s="479"/>
      <c r="L106" s="488"/>
      <c r="M106" s="479">
        <f t="shared" si="19"/>
        <v>0</v>
      </c>
      <c r="N106" s="488"/>
      <c r="O106" s="479">
        <f t="shared" si="20"/>
        <v>0</v>
      </c>
      <c r="P106" s="479">
        <f t="shared" si="21"/>
        <v>0</v>
      </c>
    </row>
    <row r="107" spans="1:16" ht="12.5">
      <c r="B107" s="160" t="str">
        <f t="shared" si="12"/>
        <v/>
      </c>
      <c r="C107" s="473">
        <f>IF(D93="","-",+C106+1)</f>
        <v>2022</v>
      </c>
      <c r="D107" s="347">
        <f>IF(F106+SUM(E$99:E106)=D$92,F106,D$92-SUM(E$99:E106))</f>
        <v>4253935</v>
      </c>
      <c r="E107" s="485">
        <f t="shared" si="14"/>
        <v>123397</v>
      </c>
      <c r="F107" s="486">
        <f t="shared" si="15"/>
        <v>4130538</v>
      </c>
      <c r="G107" s="486">
        <f t="shared" si="16"/>
        <v>4192236.5</v>
      </c>
      <c r="H107" s="489">
        <f t="shared" si="17"/>
        <v>555675.38379717036</v>
      </c>
      <c r="I107" s="543">
        <f t="shared" si="18"/>
        <v>555675.38379717036</v>
      </c>
      <c r="J107" s="479">
        <f t="shared" si="13"/>
        <v>0</v>
      </c>
      <c r="K107" s="479"/>
      <c r="L107" s="488"/>
      <c r="M107" s="479">
        <f t="shared" si="19"/>
        <v>0</v>
      </c>
      <c r="N107" s="488"/>
      <c r="O107" s="479">
        <f t="shared" si="20"/>
        <v>0</v>
      </c>
      <c r="P107" s="479">
        <f t="shared" si="21"/>
        <v>0</v>
      </c>
    </row>
    <row r="108" spans="1:16" ht="12.5">
      <c r="B108" s="160" t="str">
        <f t="shared" si="12"/>
        <v/>
      </c>
      <c r="C108" s="473">
        <f>IF(D93="","-",+C107+1)</f>
        <v>2023</v>
      </c>
      <c r="D108" s="347">
        <f>IF(F107+SUM(E$99:E107)=D$92,F107,D$92-SUM(E$99:E107))</f>
        <v>4130538</v>
      </c>
      <c r="E108" s="485">
        <f t="shared" si="14"/>
        <v>123397</v>
      </c>
      <c r="F108" s="486">
        <f t="shared" si="15"/>
        <v>4007141</v>
      </c>
      <c r="G108" s="486">
        <f t="shared" si="16"/>
        <v>4068839.5</v>
      </c>
      <c r="H108" s="489">
        <f t="shared" si="17"/>
        <v>542951.42232089886</v>
      </c>
      <c r="I108" s="543">
        <f t="shared" si="18"/>
        <v>542951.42232089886</v>
      </c>
      <c r="J108" s="479">
        <f t="shared" si="13"/>
        <v>0</v>
      </c>
      <c r="K108" s="479"/>
      <c r="L108" s="488"/>
      <c r="M108" s="479">
        <f t="shared" si="19"/>
        <v>0</v>
      </c>
      <c r="N108" s="488"/>
      <c r="O108" s="479">
        <f t="shared" si="20"/>
        <v>0</v>
      </c>
      <c r="P108" s="479">
        <f t="shared" si="21"/>
        <v>0</v>
      </c>
    </row>
    <row r="109" spans="1:16" ht="12.5">
      <c r="B109" s="160" t="str">
        <f t="shared" si="12"/>
        <v/>
      </c>
      <c r="C109" s="473">
        <f>IF(D93="","-",+C108+1)</f>
        <v>2024</v>
      </c>
      <c r="D109" s="347">
        <f>IF(F108+SUM(E$99:E108)=D$92,F108,D$92-SUM(E$99:E108))</f>
        <v>4007141</v>
      </c>
      <c r="E109" s="485">
        <f t="shared" si="14"/>
        <v>123397</v>
      </c>
      <c r="F109" s="486">
        <f t="shared" si="15"/>
        <v>3883744</v>
      </c>
      <c r="G109" s="486">
        <f t="shared" si="16"/>
        <v>3945442.5</v>
      </c>
      <c r="H109" s="489">
        <f t="shared" si="17"/>
        <v>530227.46084462735</v>
      </c>
      <c r="I109" s="543">
        <f t="shared" si="18"/>
        <v>530227.46084462735</v>
      </c>
      <c r="J109" s="479">
        <f t="shared" si="13"/>
        <v>0</v>
      </c>
      <c r="K109" s="479"/>
      <c r="L109" s="488"/>
      <c r="M109" s="479">
        <f t="shared" si="19"/>
        <v>0</v>
      </c>
      <c r="N109" s="488"/>
      <c r="O109" s="479">
        <f t="shared" si="20"/>
        <v>0</v>
      </c>
      <c r="P109" s="479">
        <f t="shared" si="21"/>
        <v>0</v>
      </c>
    </row>
    <row r="110" spans="1:16" ht="12.5">
      <c r="B110" s="160" t="str">
        <f t="shared" si="12"/>
        <v/>
      </c>
      <c r="C110" s="473">
        <f>IF(D93="","-",+C109+1)</f>
        <v>2025</v>
      </c>
      <c r="D110" s="347">
        <f>IF(F109+SUM(E$99:E109)=D$92,F109,D$92-SUM(E$99:E109))</f>
        <v>3883744</v>
      </c>
      <c r="E110" s="485">
        <f t="shared" si="14"/>
        <v>123397</v>
      </c>
      <c r="F110" s="486">
        <f t="shared" si="15"/>
        <v>3760347</v>
      </c>
      <c r="G110" s="486">
        <f t="shared" si="16"/>
        <v>3822045.5</v>
      </c>
      <c r="H110" s="489">
        <f t="shared" si="17"/>
        <v>517503.49936835573</v>
      </c>
      <c r="I110" s="543">
        <f t="shared" si="18"/>
        <v>517503.49936835573</v>
      </c>
      <c r="J110" s="479">
        <f t="shared" si="13"/>
        <v>0</v>
      </c>
      <c r="K110" s="479"/>
      <c r="L110" s="488"/>
      <c r="M110" s="479">
        <f t="shared" si="19"/>
        <v>0</v>
      </c>
      <c r="N110" s="488"/>
      <c r="O110" s="479">
        <f t="shared" si="20"/>
        <v>0</v>
      </c>
      <c r="P110" s="479">
        <f t="shared" si="21"/>
        <v>0</v>
      </c>
    </row>
    <row r="111" spans="1:16" ht="12.5">
      <c r="B111" s="160" t="str">
        <f t="shared" si="12"/>
        <v/>
      </c>
      <c r="C111" s="473">
        <f>IF(D93="","-",+C110+1)</f>
        <v>2026</v>
      </c>
      <c r="D111" s="347">
        <f>IF(F110+SUM(E$99:E110)=D$92,F110,D$92-SUM(E$99:E110))</f>
        <v>3760347</v>
      </c>
      <c r="E111" s="485">
        <f t="shared" si="14"/>
        <v>123397</v>
      </c>
      <c r="F111" s="486">
        <f t="shared" si="15"/>
        <v>3636950</v>
      </c>
      <c r="G111" s="486">
        <f t="shared" si="16"/>
        <v>3698648.5</v>
      </c>
      <c r="H111" s="489">
        <f t="shared" si="17"/>
        <v>504779.53789208422</v>
      </c>
      <c r="I111" s="543">
        <f t="shared" si="18"/>
        <v>504779.53789208422</v>
      </c>
      <c r="J111" s="479">
        <f t="shared" si="13"/>
        <v>0</v>
      </c>
      <c r="K111" s="479"/>
      <c r="L111" s="488"/>
      <c r="M111" s="479">
        <f t="shared" si="19"/>
        <v>0</v>
      </c>
      <c r="N111" s="488"/>
      <c r="O111" s="479">
        <f t="shared" si="20"/>
        <v>0</v>
      </c>
      <c r="P111" s="479">
        <f t="shared" si="21"/>
        <v>0</v>
      </c>
    </row>
    <row r="112" spans="1:16" ht="12.5">
      <c r="B112" s="160" t="str">
        <f t="shared" si="12"/>
        <v/>
      </c>
      <c r="C112" s="473">
        <f>IF(D93="","-",+C111+1)</f>
        <v>2027</v>
      </c>
      <c r="D112" s="347">
        <f>IF(F111+SUM(E$99:E111)=D$92,F111,D$92-SUM(E$99:E111))</f>
        <v>3636950</v>
      </c>
      <c r="E112" s="485">
        <f t="shared" si="14"/>
        <v>123397</v>
      </c>
      <c r="F112" s="486">
        <f t="shared" si="15"/>
        <v>3513553</v>
      </c>
      <c r="G112" s="486">
        <f t="shared" si="16"/>
        <v>3575251.5</v>
      </c>
      <c r="H112" s="489">
        <f t="shared" si="17"/>
        <v>492055.57641581265</v>
      </c>
      <c r="I112" s="543">
        <f t="shared" si="18"/>
        <v>492055.57641581265</v>
      </c>
      <c r="J112" s="479">
        <f t="shared" si="13"/>
        <v>0</v>
      </c>
      <c r="K112" s="479"/>
      <c r="L112" s="488"/>
      <c r="M112" s="479">
        <f t="shared" si="19"/>
        <v>0</v>
      </c>
      <c r="N112" s="488"/>
      <c r="O112" s="479">
        <f t="shared" si="20"/>
        <v>0</v>
      </c>
      <c r="P112" s="479">
        <f t="shared" si="21"/>
        <v>0</v>
      </c>
    </row>
    <row r="113" spans="2:16" ht="12.5">
      <c r="B113" s="160" t="str">
        <f t="shared" si="12"/>
        <v/>
      </c>
      <c r="C113" s="473">
        <f>IF(D93="","-",+C112+1)</f>
        <v>2028</v>
      </c>
      <c r="D113" s="347">
        <f>IF(F112+SUM(E$99:E112)=D$92,F112,D$92-SUM(E$99:E112))</f>
        <v>3513553</v>
      </c>
      <c r="E113" s="485">
        <f t="shared" si="14"/>
        <v>123397</v>
      </c>
      <c r="F113" s="486">
        <f t="shared" si="15"/>
        <v>3390156</v>
      </c>
      <c r="G113" s="486">
        <f t="shared" si="16"/>
        <v>3451854.5</v>
      </c>
      <c r="H113" s="489">
        <f t="shared" si="17"/>
        <v>479331.61493954115</v>
      </c>
      <c r="I113" s="543">
        <f t="shared" si="18"/>
        <v>479331.61493954115</v>
      </c>
      <c r="J113" s="479">
        <f t="shared" si="13"/>
        <v>0</v>
      </c>
      <c r="K113" s="479"/>
      <c r="L113" s="488"/>
      <c r="M113" s="479">
        <f t="shared" si="19"/>
        <v>0</v>
      </c>
      <c r="N113" s="488"/>
      <c r="O113" s="479">
        <f t="shared" si="20"/>
        <v>0</v>
      </c>
      <c r="P113" s="479">
        <f t="shared" si="21"/>
        <v>0</v>
      </c>
    </row>
    <row r="114" spans="2:16" ht="12.5">
      <c r="B114" s="160" t="str">
        <f t="shared" si="12"/>
        <v/>
      </c>
      <c r="C114" s="473">
        <f>IF(D93="","-",+C113+1)</f>
        <v>2029</v>
      </c>
      <c r="D114" s="347">
        <f>IF(F113+SUM(E$99:E113)=D$92,F113,D$92-SUM(E$99:E113))</f>
        <v>3390156</v>
      </c>
      <c r="E114" s="485">
        <f t="shared" si="14"/>
        <v>123397</v>
      </c>
      <c r="F114" s="486">
        <f t="shared" si="15"/>
        <v>3266759</v>
      </c>
      <c r="G114" s="486">
        <f t="shared" si="16"/>
        <v>3328457.5</v>
      </c>
      <c r="H114" s="489">
        <f t="shared" si="17"/>
        <v>466607.65346326958</v>
      </c>
      <c r="I114" s="543">
        <f t="shared" si="18"/>
        <v>466607.65346326958</v>
      </c>
      <c r="J114" s="479">
        <f t="shared" si="13"/>
        <v>0</v>
      </c>
      <c r="K114" s="479"/>
      <c r="L114" s="488"/>
      <c r="M114" s="479">
        <f t="shared" si="19"/>
        <v>0</v>
      </c>
      <c r="N114" s="488"/>
      <c r="O114" s="479">
        <f t="shared" si="20"/>
        <v>0</v>
      </c>
      <c r="P114" s="479">
        <f t="shared" si="21"/>
        <v>0</v>
      </c>
    </row>
    <row r="115" spans="2:16" ht="12.5">
      <c r="B115" s="160" t="str">
        <f t="shared" si="12"/>
        <v/>
      </c>
      <c r="C115" s="473">
        <f>IF(D93="","-",+C114+1)</f>
        <v>2030</v>
      </c>
      <c r="D115" s="347">
        <f>IF(F114+SUM(E$99:E114)=D$92,F114,D$92-SUM(E$99:E114))</f>
        <v>3266759</v>
      </c>
      <c r="E115" s="485">
        <f t="shared" si="14"/>
        <v>123397</v>
      </c>
      <c r="F115" s="486">
        <f t="shared" si="15"/>
        <v>3143362</v>
      </c>
      <c r="G115" s="486">
        <f t="shared" si="16"/>
        <v>3205060.5</v>
      </c>
      <c r="H115" s="489">
        <f t="shared" si="17"/>
        <v>453883.69198699808</v>
      </c>
      <c r="I115" s="543">
        <f t="shared" si="18"/>
        <v>453883.69198699808</v>
      </c>
      <c r="J115" s="479">
        <f t="shared" si="13"/>
        <v>0</v>
      </c>
      <c r="K115" s="479"/>
      <c r="L115" s="488"/>
      <c r="M115" s="479">
        <f t="shared" si="19"/>
        <v>0</v>
      </c>
      <c r="N115" s="488"/>
      <c r="O115" s="479">
        <f t="shared" si="20"/>
        <v>0</v>
      </c>
      <c r="P115" s="479">
        <f t="shared" si="21"/>
        <v>0</v>
      </c>
    </row>
    <row r="116" spans="2:16" ht="12.5">
      <c r="B116" s="160" t="str">
        <f t="shared" si="12"/>
        <v/>
      </c>
      <c r="C116" s="473">
        <f>IF(D93="","-",+C115+1)</f>
        <v>2031</v>
      </c>
      <c r="D116" s="347">
        <f>IF(F115+SUM(E$99:E115)=D$92,F115,D$92-SUM(E$99:E115))</f>
        <v>3143362</v>
      </c>
      <c r="E116" s="485">
        <f t="shared" si="14"/>
        <v>123397</v>
      </c>
      <c r="F116" s="486">
        <f t="shared" si="15"/>
        <v>3019965</v>
      </c>
      <c r="G116" s="486">
        <f t="shared" si="16"/>
        <v>3081663.5</v>
      </c>
      <c r="H116" s="489">
        <f t="shared" si="17"/>
        <v>441159.73051072651</v>
      </c>
      <c r="I116" s="543">
        <f t="shared" si="18"/>
        <v>441159.73051072651</v>
      </c>
      <c r="J116" s="479">
        <f t="shared" si="13"/>
        <v>0</v>
      </c>
      <c r="K116" s="479"/>
      <c r="L116" s="488"/>
      <c r="M116" s="479">
        <f t="shared" si="19"/>
        <v>0</v>
      </c>
      <c r="N116" s="488"/>
      <c r="O116" s="479">
        <f t="shared" si="20"/>
        <v>0</v>
      </c>
      <c r="P116" s="479">
        <f t="shared" si="21"/>
        <v>0</v>
      </c>
    </row>
    <row r="117" spans="2:16" ht="12.5">
      <c r="B117" s="160" t="str">
        <f t="shared" si="12"/>
        <v/>
      </c>
      <c r="C117" s="473">
        <f>IF(D93="","-",+C116+1)</f>
        <v>2032</v>
      </c>
      <c r="D117" s="347">
        <f>IF(F116+SUM(E$99:E116)=D$92,F116,D$92-SUM(E$99:E116))</f>
        <v>3019965</v>
      </c>
      <c r="E117" s="485">
        <f t="shared" si="14"/>
        <v>123397</v>
      </c>
      <c r="F117" s="486">
        <f t="shared" si="15"/>
        <v>2896568</v>
      </c>
      <c r="G117" s="486">
        <f t="shared" si="16"/>
        <v>2958266.5</v>
      </c>
      <c r="H117" s="489">
        <f t="shared" si="17"/>
        <v>428435.76903445495</v>
      </c>
      <c r="I117" s="543">
        <f t="shared" si="18"/>
        <v>428435.76903445495</v>
      </c>
      <c r="J117" s="479">
        <f t="shared" si="13"/>
        <v>0</v>
      </c>
      <c r="K117" s="479"/>
      <c r="L117" s="488"/>
      <c r="M117" s="479">
        <f t="shared" si="19"/>
        <v>0</v>
      </c>
      <c r="N117" s="488"/>
      <c r="O117" s="479">
        <f t="shared" si="20"/>
        <v>0</v>
      </c>
      <c r="P117" s="479">
        <f t="shared" si="21"/>
        <v>0</v>
      </c>
    </row>
    <row r="118" spans="2:16" ht="12.5">
      <c r="B118" s="160" t="str">
        <f t="shared" si="12"/>
        <v/>
      </c>
      <c r="C118" s="473">
        <f>IF(D93="","-",+C117+1)</f>
        <v>2033</v>
      </c>
      <c r="D118" s="347">
        <f>IF(F117+SUM(E$99:E117)=D$92,F117,D$92-SUM(E$99:E117))</f>
        <v>2896568</v>
      </c>
      <c r="E118" s="485">
        <f t="shared" si="14"/>
        <v>123397</v>
      </c>
      <c r="F118" s="486">
        <f t="shared" si="15"/>
        <v>2773171</v>
      </c>
      <c r="G118" s="486">
        <f t="shared" si="16"/>
        <v>2834869.5</v>
      </c>
      <c r="H118" s="489">
        <f t="shared" si="17"/>
        <v>415711.80755818344</v>
      </c>
      <c r="I118" s="543">
        <f t="shared" si="18"/>
        <v>415711.80755818344</v>
      </c>
      <c r="J118" s="479">
        <f t="shared" si="13"/>
        <v>0</v>
      </c>
      <c r="K118" s="479"/>
      <c r="L118" s="488"/>
      <c r="M118" s="479">
        <f t="shared" si="19"/>
        <v>0</v>
      </c>
      <c r="N118" s="488"/>
      <c r="O118" s="479">
        <f t="shared" si="20"/>
        <v>0</v>
      </c>
      <c r="P118" s="479">
        <f t="shared" si="21"/>
        <v>0</v>
      </c>
    </row>
    <row r="119" spans="2:16" ht="12.5">
      <c r="B119" s="160" t="str">
        <f t="shared" si="12"/>
        <v/>
      </c>
      <c r="C119" s="473">
        <f>IF(D93="","-",+C118+1)</f>
        <v>2034</v>
      </c>
      <c r="D119" s="347">
        <f>IF(F118+SUM(E$99:E118)=D$92,F118,D$92-SUM(E$99:E118))</f>
        <v>2773171</v>
      </c>
      <c r="E119" s="485">
        <f t="shared" si="14"/>
        <v>123397</v>
      </c>
      <c r="F119" s="486">
        <f t="shared" si="15"/>
        <v>2649774</v>
      </c>
      <c r="G119" s="486">
        <f t="shared" si="16"/>
        <v>2711472.5</v>
      </c>
      <c r="H119" s="489">
        <f t="shared" si="17"/>
        <v>402987.84608191188</v>
      </c>
      <c r="I119" s="543">
        <f t="shared" si="18"/>
        <v>402987.84608191188</v>
      </c>
      <c r="J119" s="479">
        <f t="shared" si="13"/>
        <v>0</v>
      </c>
      <c r="K119" s="479"/>
      <c r="L119" s="488"/>
      <c r="M119" s="479">
        <f t="shared" si="19"/>
        <v>0</v>
      </c>
      <c r="N119" s="488"/>
      <c r="O119" s="479">
        <f t="shared" si="20"/>
        <v>0</v>
      </c>
      <c r="P119" s="479">
        <f t="shared" si="21"/>
        <v>0</v>
      </c>
    </row>
    <row r="120" spans="2:16" ht="12.5">
      <c r="B120" s="160" t="str">
        <f t="shared" si="12"/>
        <v/>
      </c>
      <c r="C120" s="473">
        <f>IF(D93="","-",+C119+1)</f>
        <v>2035</v>
      </c>
      <c r="D120" s="347">
        <f>IF(F119+SUM(E$99:E119)=D$92,F119,D$92-SUM(E$99:E119))</f>
        <v>2649774</v>
      </c>
      <c r="E120" s="485">
        <f t="shared" si="14"/>
        <v>123397</v>
      </c>
      <c r="F120" s="486">
        <f t="shared" si="15"/>
        <v>2526377</v>
      </c>
      <c r="G120" s="486">
        <f t="shared" si="16"/>
        <v>2588075.5</v>
      </c>
      <c r="H120" s="489">
        <f t="shared" si="17"/>
        <v>390263.88460564037</v>
      </c>
      <c r="I120" s="543">
        <f t="shared" si="18"/>
        <v>390263.88460564037</v>
      </c>
      <c r="J120" s="479">
        <f t="shared" si="13"/>
        <v>0</v>
      </c>
      <c r="K120" s="479"/>
      <c r="L120" s="488"/>
      <c r="M120" s="479">
        <f t="shared" si="19"/>
        <v>0</v>
      </c>
      <c r="N120" s="488"/>
      <c r="O120" s="479">
        <f t="shared" si="20"/>
        <v>0</v>
      </c>
      <c r="P120" s="479">
        <f t="shared" si="21"/>
        <v>0</v>
      </c>
    </row>
    <row r="121" spans="2:16" ht="12.5">
      <c r="B121" s="160" t="str">
        <f t="shared" si="12"/>
        <v/>
      </c>
      <c r="C121" s="473">
        <f>IF(D93="","-",+C120+1)</f>
        <v>2036</v>
      </c>
      <c r="D121" s="347">
        <f>IF(F120+SUM(E$99:E120)=D$92,F120,D$92-SUM(E$99:E120))</f>
        <v>2526377</v>
      </c>
      <c r="E121" s="485">
        <f t="shared" si="14"/>
        <v>123397</v>
      </c>
      <c r="F121" s="486">
        <f t="shared" si="15"/>
        <v>2402980</v>
      </c>
      <c r="G121" s="486">
        <f t="shared" si="16"/>
        <v>2464678.5</v>
      </c>
      <c r="H121" s="489">
        <f t="shared" si="17"/>
        <v>377539.92312936881</v>
      </c>
      <c r="I121" s="543">
        <f t="shared" si="18"/>
        <v>377539.92312936881</v>
      </c>
      <c r="J121" s="479">
        <f t="shared" si="13"/>
        <v>0</v>
      </c>
      <c r="K121" s="479"/>
      <c r="L121" s="488"/>
      <c r="M121" s="479">
        <f t="shared" si="19"/>
        <v>0</v>
      </c>
      <c r="N121" s="488"/>
      <c r="O121" s="479">
        <f t="shared" si="20"/>
        <v>0</v>
      </c>
      <c r="P121" s="479">
        <f t="shared" si="21"/>
        <v>0</v>
      </c>
    </row>
    <row r="122" spans="2:16" ht="12.5">
      <c r="B122" s="160" t="str">
        <f t="shared" si="12"/>
        <v/>
      </c>
      <c r="C122" s="473">
        <f>IF(D93="","-",+C121+1)</f>
        <v>2037</v>
      </c>
      <c r="D122" s="347">
        <f>IF(F121+SUM(E$99:E121)=D$92,F121,D$92-SUM(E$99:E121))</f>
        <v>2402980</v>
      </c>
      <c r="E122" s="485">
        <f t="shared" si="14"/>
        <v>123397</v>
      </c>
      <c r="F122" s="486">
        <f t="shared" si="15"/>
        <v>2279583</v>
      </c>
      <c r="G122" s="486">
        <f t="shared" si="16"/>
        <v>2341281.5</v>
      </c>
      <c r="H122" s="489">
        <f t="shared" si="17"/>
        <v>364815.9616530973</v>
      </c>
      <c r="I122" s="543">
        <f t="shared" si="18"/>
        <v>364815.9616530973</v>
      </c>
      <c r="J122" s="479">
        <f t="shared" si="13"/>
        <v>0</v>
      </c>
      <c r="K122" s="479"/>
      <c r="L122" s="488"/>
      <c r="M122" s="479">
        <f t="shared" si="19"/>
        <v>0</v>
      </c>
      <c r="N122" s="488"/>
      <c r="O122" s="479">
        <f t="shared" si="20"/>
        <v>0</v>
      </c>
      <c r="P122" s="479">
        <f t="shared" si="21"/>
        <v>0</v>
      </c>
    </row>
    <row r="123" spans="2:16" ht="12.5">
      <c r="B123" s="160" t="str">
        <f t="shared" si="12"/>
        <v/>
      </c>
      <c r="C123" s="473">
        <f>IF(D93="","-",+C122+1)</f>
        <v>2038</v>
      </c>
      <c r="D123" s="347">
        <f>IF(F122+SUM(E$99:E122)=D$92,F122,D$92-SUM(E$99:E122))</f>
        <v>2279583</v>
      </c>
      <c r="E123" s="485">
        <f t="shared" si="14"/>
        <v>123397</v>
      </c>
      <c r="F123" s="486">
        <f t="shared" si="15"/>
        <v>2156186</v>
      </c>
      <c r="G123" s="486">
        <f t="shared" si="16"/>
        <v>2217884.5</v>
      </c>
      <c r="H123" s="489">
        <f t="shared" si="17"/>
        <v>352092.00017682574</v>
      </c>
      <c r="I123" s="543">
        <f t="shared" si="18"/>
        <v>352092.00017682574</v>
      </c>
      <c r="J123" s="479">
        <f t="shared" si="13"/>
        <v>0</v>
      </c>
      <c r="K123" s="479"/>
      <c r="L123" s="488"/>
      <c r="M123" s="479">
        <f t="shared" si="19"/>
        <v>0</v>
      </c>
      <c r="N123" s="488"/>
      <c r="O123" s="479">
        <f t="shared" si="20"/>
        <v>0</v>
      </c>
      <c r="P123" s="479">
        <f t="shared" si="21"/>
        <v>0</v>
      </c>
    </row>
    <row r="124" spans="2:16" ht="12.5">
      <c r="B124" s="160" t="str">
        <f t="shared" si="12"/>
        <v/>
      </c>
      <c r="C124" s="473">
        <f>IF(D93="","-",+C123+1)</f>
        <v>2039</v>
      </c>
      <c r="D124" s="347">
        <f>IF(F123+SUM(E$99:E123)=D$92,F123,D$92-SUM(E$99:E123))</f>
        <v>2156186</v>
      </c>
      <c r="E124" s="485">
        <f t="shared" si="14"/>
        <v>123397</v>
      </c>
      <c r="F124" s="486">
        <f t="shared" si="15"/>
        <v>2032789</v>
      </c>
      <c r="G124" s="486">
        <f t="shared" si="16"/>
        <v>2094487.5</v>
      </c>
      <c r="H124" s="489">
        <f t="shared" si="17"/>
        <v>339368.03870055417</v>
      </c>
      <c r="I124" s="543">
        <f t="shared" si="18"/>
        <v>339368.03870055417</v>
      </c>
      <c r="J124" s="479">
        <f t="shared" si="13"/>
        <v>0</v>
      </c>
      <c r="K124" s="479"/>
      <c r="L124" s="488"/>
      <c r="M124" s="479">
        <f t="shared" si="19"/>
        <v>0</v>
      </c>
      <c r="N124" s="488"/>
      <c r="O124" s="479">
        <f t="shared" si="20"/>
        <v>0</v>
      </c>
      <c r="P124" s="479">
        <f t="shared" si="21"/>
        <v>0</v>
      </c>
    </row>
    <row r="125" spans="2:16" ht="12.5">
      <c r="B125" s="160" t="str">
        <f t="shared" si="12"/>
        <v/>
      </c>
      <c r="C125" s="473">
        <f>IF(D93="","-",+C124+1)</f>
        <v>2040</v>
      </c>
      <c r="D125" s="347">
        <f>IF(F124+SUM(E$99:E124)=D$92,F124,D$92-SUM(E$99:E124))</f>
        <v>2032789</v>
      </c>
      <c r="E125" s="485">
        <f t="shared" si="14"/>
        <v>123397</v>
      </c>
      <c r="F125" s="486">
        <f t="shared" si="15"/>
        <v>1909392</v>
      </c>
      <c r="G125" s="486">
        <f t="shared" si="16"/>
        <v>1971090.5</v>
      </c>
      <c r="H125" s="489">
        <f t="shared" si="17"/>
        <v>326644.07722428266</v>
      </c>
      <c r="I125" s="543">
        <f t="shared" si="18"/>
        <v>326644.07722428266</v>
      </c>
      <c r="J125" s="479">
        <f t="shared" si="13"/>
        <v>0</v>
      </c>
      <c r="K125" s="479"/>
      <c r="L125" s="488"/>
      <c r="M125" s="479">
        <f t="shared" si="19"/>
        <v>0</v>
      </c>
      <c r="N125" s="488"/>
      <c r="O125" s="479">
        <f t="shared" si="20"/>
        <v>0</v>
      </c>
      <c r="P125" s="479">
        <f t="shared" si="21"/>
        <v>0</v>
      </c>
    </row>
    <row r="126" spans="2:16" ht="12.5">
      <c r="B126" s="160" t="str">
        <f t="shared" si="12"/>
        <v/>
      </c>
      <c r="C126" s="473">
        <f>IF(D93="","-",+C125+1)</f>
        <v>2041</v>
      </c>
      <c r="D126" s="347">
        <f>IF(F125+SUM(E$99:E125)=D$92,F125,D$92-SUM(E$99:E125))</f>
        <v>1909392</v>
      </c>
      <c r="E126" s="485">
        <f t="shared" si="14"/>
        <v>123397</v>
      </c>
      <c r="F126" s="486">
        <f t="shared" si="15"/>
        <v>1785995</v>
      </c>
      <c r="G126" s="486">
        <f t="shared" si="16"/>
        <v>1847693.5</v>
      </c>
      <c r="H126" s="489">
        <f t="shared" si="17"/>
        <v>313920.11574801116</v>
      </c>
      <c r="I126" s="543">
        <f t="shared" si="18"/>
        <v>313920.11574801116</v>
      </c>
      <c r="J126" s="479">
        <f t="shared" si="13"/>
        <v>0</v>
      </c>
      <c r="K126" s="479"/>
      <c r="L126" s="488"/>
      <c r="M126" s="479">
        <f t="shared" si="19"/>
        <v>0</v>
      </c>
      <c r="N126" s="488"/>
      <c r="O126" s="479">
        <f t="shared" si="20"/>
        <v>0</v>
      </c>
      <c r="P126" s="479">
        <f t="shared" si="21"/>
        <v>0</v>
      </c>
    </row>
    <row r="127" spans="2:16" ht="12.5">
      <c r="B127" s="160" t="str">
        <f t="shared" si="12"/>
        <v/>
      </c>
      <c r="C127" s="473">
        <f>IF(D93="","-",+C126+1)</f>
        <v>2042</v>
      </c>
      <c r="D127" s="347">
        <f>IF(F126+SUM(E$99:E126)=D$92,F126,D$92-SUM(E$99:E126))</f>
        <v>1785995</v>
      </c>
      <c r="E127" s="485">
        <f t="shared" si="14"/>
        <v>123397</v>
      </c>
      <c r="F127" s="486">
        <f t="shared" si="15"/>
        <v>1662598</v>
      </c>
      <c r="G127" s="486">
        <f t="shared" si="16"/>
        <v>1724296.5</v>
      </c>
      <c r="H127" s="489">
        <f t="shared" si="17"/>
        <v>301196.15427173954</v>
      </c>
      <c r="I127" s="543">
        <f t="shared" si="18"/>
        <v>301196.15427173954</v>
      </c>
      <c r="J127" s="479">
        <f t="shared" si="13"/>
        <v>0</v>
      </c>
      <c r="K127" s="479"/>
      <c r="L127" s="488"/>
      <c r="M127" s="479">
        <f t="shared" si="19"/>
        <v>0</v>
      </c>
      <c r="N127" s="488"/>
      <c r="O127" s="479">
        <f t="shared" si="20"/>
        <v>0</v>
      </c>
      <c r="P127" s="479">
        <f t="shared" si="21"/>
        <v>0</v>
      </c>
    </row>
    <row r="128" spans="2:16" ht="12.5">
      <c r="B128" s="160" t="str">
        <f t="shared" si="12"/>
        <v/>
      </c>
      <c r="C128" s="473">
        <f>IF(D93="","-",+C127+1)</f>
        <v>2043</v>
      </c>
      <c r="D128" s="347">
        <f>IF(F127+SUM(E$99:E127)=D$92,F127,D$92-SUM(E$99:E127))</f>
        <v>1662598</v>
      </c>
      <c r="E128" s="485">
        <f t="shared" si="14"/>
        <v>123397</v>
      </c>
      <c r="F128" s="486">
        <f t="shared" si="15"/>
        <v>1539201</v>
      </c>
      <c r="G128" s="486">
        <f t="shared" si="16"/>
        <v>1600899.5</v>
      </c>
      <c r="H128" s="489">
        <f t="shared" si="17"/>
        <v>288472.19279546803</v>
      </c>
      <c r="I128" s="543">
        <f t="shared" si="18"/>
        <v>288472.19279546803</v>
      </c>
      <c r="J128" s="479">
        <f t="shared" si="13"/>
        <v>0</v>
      </c>
      <c r="K128" s="479"/>
      <c r="L128" s="488"/>
      <c r="M128" s="479">
        <f t="shared" si="19"/>
        <v>0</v>
      </c>
      <c r="N128" s="488"/>
      <c r="O128" s="479">
        <f t="shared" si="20"/>
        <v>0</v>
      </c>
      <c r="P128" s="479">
        <f t="shared" si="21"/>
        <v>0</v>
      </c>
    </row>
    <row r="129" spans="2:16" ht="12.5">
      <c r="B129" s="160" t="str">
        <f t="shared" si="12"/>
        <v/>
      </c>
      <c r="C129" s="473">
        <f>IF(D93="","-",+C128+1)</f>
        <v>2044</v>
      </c>
      <c r="D129" s="347">
        <f>IF(F128+SUM(E$99:E128)=D$92,F128,D$92-SUM(E$99:E128))</f>
        <v>1539201</v>
      </c>
      <c r="E129" s="485">
        <f t="shared" si="14"/>
        <v>123397</v>
      </c>
      <c r="F129" s="486">
        <f t="shared" si="15"/>
        <v>1415804</v>
      </c>
      <c r="G129" s="486">
        <f t="shared" si="16"/>
        <v>1477502.5</v>
      </c>
      <c r="H129" s="489">
        <f t="shared" si="17"/>
        <v>275748.23131919652</v>
      </c>
      <c r="I129" s="543">
        <f t="shared" si="18"/>
        <v>275748.23131919652</v>
      </c>
      <c r="J129" s="479">
        <f t="shared" si="13"/>
        <v>0</v>
      </c>
      <c r="K129" s="479"/>
      <c r="L129" s="488"/>
      <c r="M129" s="479">
        <f t="shared" si="19"/>
        <v>0</v>
      </c>
      <c r="N129" s="488"/>
      <c r="O129" s="479">
        <f t="shared" si="20"/>
        <v>0</v>
      </c>
      <c r="P129" s="479">
        <f t="shared" si="21"/>
        <v>0</v>
      </c>
    </row>
    <row r="130" spans="2:16" ht="12.5">
      <c r="B130" s="160" t="str">
        <f t="shared" si="12"/>
        <v/>
      </c>
      <c r="C130" s="473">
        <f>IF(D93="","-",+C129+1)</f>
        <v>2045</v>
      </c>
      <c r="D130" s="347">
        <f>IF(F129+SUM(E$99:E129)=D$92,F129,D$92-SUM(E$99:E129))</f>
        <v>1415804</v>
      </c>
      <c r="E130" s="485">
        <f t="shared" si="14"/>
        <v>123397</v>
      </c>
      <c r="F130" s="486">
        <f t="shared" si="15"/>
        <v>1292407</v>
      </c>
      <c r="G130" s="486">
        <f t="shared" si="16"/>
        <v>1354105.5</v>
      </c>
      <c r="H130" s="489">
        <f t="shared" si="17"/>
        <v>263024.26984292496</v>
      </c>
      <c r="I130" s="543">
        <f t="shared" si="18"/>
        <v>263024.26984292496</v>
      </c>
      <c r="J130" s="479">
        <f t="shared" si="13"/>
        <v>0</v>
      </c>
      <c r="K130" s="479"/>
      <c r="L130" s="488"/>
      <c r="M130" s="479">
        <f t="shared" si="19"/>
        <v>0</v>
      </c>
      <c r="N130" s="488"/>
      <c r="O130" s="479">
        <f t="shared" si="20"/>
        <v>0</v>
      </c>
      <c r="P130" s="479">
        <f t="shared" si="21"/>
        <v>0</v>
      </c>
    </row>
    <row r="131" spans="2:16" ht="12.5">
      <c r="B131" s="160" t="str">
        <f t="shared" si="12"/>
        <v/>
      </c>
      <c r="C131" s="473">
        <f>IF(D93="","-",+C130+1)</f>
        <v>2046</v>
      </c>
      <c r="D131" s="347">
        <f>IF(F130+SUM(E$99:E130)=D$92,F130,D$92-SUM(E$99:E130))</f>
        <v>1292407</v>
      </c>
      <c r="E131" s="485">
        <f t="shared" si="14"/>
        <v>123397</v>
      </c>
      <c r="F131" s="486">
        <f t="shared" si="15"/>
        <v>1169010</v>
      </c>
      <c r="G131" s="486">
        <f t="shared" si="16"/>
        <v>1230708.5</v>
      </c>
      <c r="H131" s="489">
        <f t="shared" si="17"/>
        <v>250300.30836665342</v>
      </c>
      <c r="I131" s="543">
        <f t="shared" si="18"/>
        <v>250300.30836665342</v>
      </c>
      <c r="J131" s="479">
        <f t="shared" si="13"/>
        <v>0</v>
      </c>
      <c r="K131" s="479"/>
      <c r="L131" s="488"/>
      <c r="M131" s="479">
        <f t="shared" ref="M131:M154" si="22">IF(L541&lt;&gt;0,+H541-L541,0)</f>
        <v>0</v>
      </c>
      <c r="N131" s="488"/>
      <c r="O131" s="479">
        <f t="shared" ref="O131:O154" si="23">IF(N541&lt;&gt;0,+I541-N541,0)</f>
        <v>0</v>
      </c>
      <c r="P131" s="479">
        <f t="shared" ref="P131:P154" si="24">+O541-M541</f>
        <v>0</v>
      </c>
    </row>
    <row r="132" spans="2:16" ht="12.5">
      <c r="B132" s="160" t="str">
        <f t="shared" si="12"/>
        <v/>
      </c>
      <c r="C132" s="473">
        <f>IF(D93="","-",+C131+1)</f>
        <v>2047</v>
      </c>
      <c r="D132" s="347">
        <f>IF(F131+SUM(E$99:E131)=D$92,F131,D$92-SUM(E$99:E131))</f>
        <v>1169010</v>
      </c>
      <c r="E132" s="485">
        <f t="shared" si="14"/>
        <v>123397</v>
      </c>
      <c r="F132" s="486">
        <f t="shared" si="15"/>
        <v>1045613</v>
      </c>
      <c r="G132" s="486">
        <f t="shared" si="16"/>
        <v>1107311.5</v>
      </c>
      <c r="H132" s="489">
        <f t="shared" si="17"/>
        <v>237576.34689038189</v>
      </c>
      <c r="I132" s="543">
        <f t="shared" si="18"/>
        <v>237576.34689038189</v>
      </c>
      <c r="J132" s="479">
        <f t="shared" si="13"/>
        <v>0</v>
      </c>
      <c r="K132" s="479"/>
      <c r="L132" s="488"/>
      <c r="M132" s="479">
        <f t="shared" si="22"/>
        <v>0</v>
      </c>
      <c r="N132" s="488"/>
      <c r="O132" s="479">
        <f t="shared" si="23"/>
        <v>0</v>
      </c>
      <c r="P132" s="479">
        <f t="shared" si="24"/>
        <v>0</v>
      </c>
    </row>
    <row r="133" spans="2:16" ht="12.5">
      <c r="B133" s="160" t="str">
        <f t="shared" si="12"/>
        <v/>
      </c>
      <c r="C133" s="473">
        <f>IF(D93="","-",+C132+1)</f>
        <v>2048</v>
      </c>
      <c r="D133" s="347">
        <f>IF(F132+SUM(E$99:E132)=D$92,F132,D$92-SUM(E$99:E132))</f>
        <v>1045613</v>
      </c>
      <c r="E133" s="485">
        <f t="shared" si="14"/>
        <v>123397</v>
      </c>
      <c r="F133" s="486">
        <f t="shared" si="15"/>
        <v>922216</v>
      </c>
      <c r="G133" s="486">
        <f t="shared" si="16"/>
        <v>983914.5</v>
      </c>
      <c r="H133" s="489">
        <f t="shared" si="17"/>
        <v>224852.38541411032</v>
      </c>
      <c r="I133" s="543">
        <f t="shared" si="18"/>
        <v>224852.38541411032</v>
      </c>
      <c r="J133" s="479">
        <f t="shared" si="13"/>
        <v>0</v>
      </c>
      <c r="K133" s="479"/>
      <c r="L133" s="488"/>
      <c r="M133" s="479">
        <f t="shared" si="22"/>
        <v>0</v>
      </c>
      <c r="N133" s="488"/>
      <c r="O133" s="479">
        <f t="shared" si="23"/>
        <v>0</v>
      </c>
      <c r="P133" s="479">
        <f t="shared" si="24"/>
        <v>0</v>
      </c>
    </row>
    <row r="134" spans="2:16" ht="12.5">
      <c r="B134" s="160" t="str">
        <f t="shared" si="12"/>
        <v/>
      </c>
      <c r="C134" s="473">
        <f>IF(D93="","-",+C133+1)</f>
        <v>2049</v>
      </c>
      <c r="D134" s="347">
        <f>IF(F133+SUM(E$99:E133)=D$92,F133,D$92-SUM(E$99:E133))</f>
        <v>922216</v>
      </c>
      <c r="E134" s="485">
        <f t="shared" si="14"/>
        <v>123397</v>
      </c>
      <c r="F134" s="486">
        <f t="shared" si="15"/>
        <v>798819</v>
      </c>
      <c r="G134" s="486">
        <f t="shared" si="16"/>
        <v>860517.5</v>
      </c>
      <c r="H134" s="489">
        <f t="shared" si="17"/>
        <v>212128.42393783882</v>
      </c>
      <c r="I134" s="543">
        <f t="shared" si="18"/>
        <v>212128.42393783882</v>
      </c>
      <c r="J134" s="479">
        <f t="shared" si="13"/>
        <v>0</v>
      </c>
      <c r="K134" s="479"/>
      <c r="L134" s="488"/>
      <c r="M134" s="479">
        <f t="shared" si="22"/>
        <v>0</v>
      </c>
      <c r="N134" s="488"/>
      <c r="O134" s="479">
        <f t="shared" si="23"/>
        <v>0</v>
      </c>
      <c r="P134" s="479">
        <f t="shared" si="24"/>
        <v>0</v>
      </c>
    </row>
    <row r="135" spans="2:16" ht="12.5">
      <c r="B135" s="160" t="str">
        <f t="shared" si="12"/>
        <v/>
      </c>
      <c r="C135" s="473">
        <f>IF(D93="","-",+C134+1)</f>
        <v>2050</v>
      </c>
      <c r="D135" s="347">
        <f>IF(F134+SUM(E$99:E134)=D$92,F134,D$92-SUM(E$99:E134))</f>
        <v>798819</v>
      </c>
      <c r="E135" s="485">
        <f t="shared" si="14"/>
        <v>123397</v>
      </c>
      <c r="F135" s="486">
        <f t="shared" si="15"/>
        <v>675422</v>
      </c>
      <c r="G135" s="486">
        <f t="shared" si="16"/>
        <v>737120.5</v>
      </c>
      <c r="H135" s="489">
        <f t="shared" si="17"/>
        <v>199404.46246156725</v>
      </c>
      <c r="I135" s="543">
        <f t="shared" si="18"/>
        <v>199404.46246156725</v>
      </c>
      <c r="J135" s="479">
        <f t="shared" si="13"/>
        <v>0</v>
      </c>
      <c r="K135" s="479"/>
      <c r="L135" s="488"/>
      <c r="M135" s="479">
        <f t="shared" si="22"/>
        <v>0</v>
      </c>
      <c r="N135" s="488"/>
      <c r="O135" s="479">
        <f t="shared" si="23"/>
        <v>0</v>
      </c>
      <c r="P135" s="479">
        <f t="shared" si="24"/>
        <v>0</v>
      </c>
    </row>
    <row r="136" spans="2:16" ht="12.5">
      <c r="B136" s="160" t="str">
        <f t="shared" si="12"/>
        <v/>
      </c>
      <c r="C136" s="473">
        <f>IF(D93="","-",+C135+1)</f>
        <v>2051</v>
      </c>
      <c r="D136" s="347">
        <f>IF(F135+SUM(E$99:E135)=D$92,F135,D$92-SUM(E$99:E135))</f>
        <v>675422</v>
      </c>
      <c r="E136" s="485">
        <f t="shared" si="14"/>
        <v>123397</v>
      </c>
      <c r="F136" s="486">
        <f t="shared" si="15"/>
        <v>552025</v>
      </c>
      <c r="G136" s="486">
        <f t="shared" si="16"/>
        <v>613723.5</v>
      </c>
      <c r="H136" s="489">
        <f t="shared" si="17"/>
        <v>186680.50098529572</v>
      </c>
      <c r="I136" s="543">
        <f t="shared" si="18"/>
        <v>186680.50098529572</v>
      </c>
      <c r="J136" s="479">
        <f t="shared" si="13"/>
        <v>0</v>
      </c>
      <c r="K136" s="479"/>
      <c r="L136" s="488"/>
      <c r="M136" s="479">
        <f t="shared" si="22"/>
        <v>0</v>
      </c>
      <c r="N136" s="488"/>
      <c r="O136" s="479">
        <f t="shared" si="23"/>
        <v>0</v>
      </c>
      <c r="P136" s="479">
        <f t="shared" si="24"/>
        <v>0</v>
      </c>
    </row>
    <row r="137" spans="2:16" ht="12.5">
      <c r="B137" s="160" t="str">
        <f t="shared" si="12"/>
        <v/>
      </c>
      <c r="C137" s="473">
        <f>IF(D93="","-",+C136+1)</f>
        <v>2052</v>
      </c>
      <c r="D137" s="347">
        <f>IF(F136+SUM(E$99:E136)=D$92,F136,D$92-SUM(E$99:E136))</f>
        <v>552025</v>
      </c>
      <c r="E137" s="485">
        <f t="shared" si="14"/>
        <v>123397</v>
      </c>
      <c r="F137" s="486">
        <f t="shared" si="15"/>
        <v>428628</v>
      </c>
      <c r="G137" s="486">
        <f t="shared" si="16"/>
        <v>490326.5</v>
      </c>
      <c r="H137" s="489">
        <f t="shared" si="17"/>
        <v>173956.53950902418</v>
      </c>
      <c r="I137" s="543">
        <f t="shared" si="18"/>
        <v>173956.53950902418</v>
      </c>
      <c r="J137" s="479">
        <f t="shared" si="13"/>
        <v>0</v>
      </c>
      <c r="K137" s="479"/>
      <c r="L137" s="488"/>
      <c r="M137" s="479">
        <f t="shared" si="22"/>
        <v>0</v>
      </c>
      <c r="N137" s="488"/>
      <c r="O137" s="479">
        <f t="shared" si="23"/>
        <v>0</v>
      </c>
      <c r="P137" s="479">
        <f t="shared" si="24"/>
        <v>0</v>
      </c>
    </row>
    <row r="138" spans="2:16" ht="12.5">
      <c r="B138" s="160" t="str">
        <f t="shared" si="12"/>
        <v/>
      </c>
      <c r="C138" s="473">
        <f>IF(D93="","-",+C137+1)</f>
        <v>2053</v>
      </c>
      <c r="D138" s="347">
        <f>IF(F137+SUM(E$99:E137)=D$92,F137,D$92-SUM(E$99:E137))</f>
        <v>428628</v>
      </c>
      <c r="E138" s="485">
        <f t="shared" si="14"/>
        <v>123397</v>
      </c>
      <c r="F138" s="486">
        <f t="shared" si="15"/>
        <v>305231</v>
      </c>
      <c r="G138" s="486">
        <f t="shared" si="16"/>
        <v>366929.5</v>
      </c>
      <c r="H138" s="489">
        <f t="shared" si="17"/>
        <v>161232.57803275264</v>
      </c>
      <c r="I138" s="543">
        <f t="shared" si="18"/>
        <v>161232.57803275264</v>
      </c>
      <c r="J138" s="479">
        <f t="shared" si="13"/>
        <v>0</v>
      </c>
      <c r="K138" s="479"/>
      <c r="L138" s="488"/>
      <c r="M138" s="479">
        <f t="shared" si="22"/>
        <v>0</v>
      </c>
      <c r="N138" s="488"/>
      <c r="O138" s="479">
        <f t="shared" si="23"/>
        <v>0</v>
      </c>
      <c r="P138" s="479">
        <f t="shared" si="24"/>
        <v>0</v>
      </c>
    </row>
    <row r="139" spans="2:16" ht="12.5">
      <c r="B139" s="160" t="str">
        <f t="shared" si="12"/>
        <v/>
      </c>
      <c r="C139" s="473">
        <f>IF(D93="","-",+C138+1)</f>
        <v>2054</v>
      </c>
      <c r="D139" s="347">
        <f>IF(F138+SUM(E$99:E138)=D$92,F138,D$92-SUM(E$99:E138))</f>
        <v>305231</v>
      </c>
      <c r="E139" s="485">
        <f t="shared" si="14"/>
        <v>123397</v>
      </c>
      <c r="F139" s="486">
        <f t="shared" si="15"/>
        <v>181834</v>
      </c>
      <c r="G139" s="486">
        <f t="shared" si="16"/>
        <v>243532.5</v>
      </c>
      <c r="H139" s="489">
        <f t="shared" si="17"/>
        <v>148508.61655648111</v>
      </c>
      <c r="I139" s="543">
        <f t="shared" si="18"/>
        <v>148508.61655648111</v>
      </c>
      <c r="J139" s="479">
        <f t="shared" si="13"/>
        <v>0</v>
      </c>
      <c r="K139" s="479"/>
      <c r="L139" s="488"/>
      <c r="M139" s="479">
        <f t="shared" si="22"/>
        <v>0</v>
      </c>
      <c r="N139" s="488"/>
      <c r="O139" s="479">
        <f t="shared" si="23"/>
        <v>0</v>
      </c>
      <c r="P139" s="479">
        <f t="shared" si="24"/>
        <v>0</v>
      </c>
    </row>
    <row r="140" spans="2:16" ht="12.5">
      <c r="B140" s="160" t="str">
        <f t="shared" si="12"/>
        <v/>
      </c>
      <c r="C140" s="473">
        <f>IF(D93="","-",+C139+1)</f>
        <v>2055</v>
      </c>
      <c r="D140" s="347">
        <f>IF(F139+SUM(E$99:E139)=D$92,F139,D$92-SUM(E$99:E139))</f>
        <v>181834</v>
      </c>
      <c r="E140" s="485">
        <f t="shared" si="14"/>
        <v>123397</v>
      </c>
      <c r="F140" s="486">
        <f t="shared" si="15"/>
        <v>58437</v>
      </c>
      <c r="G140" s="486">
        <f t="shared" si="16"/>
        <v>120135.5</v>
      </c>
      <c r="H140" s="489">
        <f t="shared" si="17"/>
        <v>135784.65508020957</v>
      </c>
      <c r="I140" s="543">
        <f t="shared" si="18"/>
        <v>135784.65508020957</v>
      </c>
      <c r="J140" s="479">
        <f t="shared" si="13"/>
        <v>0</v>
      </c>
      <c r="K140" s="479"/>
      <c r="L140" s="488"/>
      <c r="M140" s="479">
        <f t="shared" si="22"/>
        <v>0</v>
      </c>
      <c r="N140" s="488"/>
      <c r="O140" s="479">
        <f t="shared" si="23"/>
        <v>0</v>
      </c>
      <c r="P140" s="479">
        <f t="shared" si="24"/>
        <v>0</v>
      </c>
    </row>
    <row r="141" spans="2:16" ht="12.5">
      <c r="B141" s="160" t="str">
        <f t="shared" si="12"/>
        <v/>
      </c>
      <c r="C141" s="473">
        <f>IF(D93="","-",+C140+1)</f>
        <v>2056</v>
      </c>
      <c r="D141" s="347">
        <f>IF(F140+SUM(E$99:E140)=D$92,F140,D$92-SUM(E$99:E140))</f>
        <v>58437</v>
      </c>
      <c r="E141" s="485">
        <f t="shared" si="14"/>
        <v>58437</v>
      </c>
      <c r="F141" s="486">
        <f t="shared" si="15"/>
        <v>0</v>
      </c>
      <c r="G141" s="486">
        <f t="shared" si="16"/>
        <v>29218.5</v>
      </c>
      <c r="H141" s="489">
        <f t="shared" si="17"/>
        <v>61449.837171036896</v>
      </c>
      <c r="I141" s="543">
        <f t="shared" si="18"/>
        <v>61449.837171036896</v>
      </c>
      <c r="J141" s="479">
        <f t="shared" si="13"/>
        <v>0</v>
      </c>
      <c r="K141" s="479"/>
      <c r="L141" s="488"/>
      <c r="M141" s="479">
        <f t="shared" si="22"/>
        <v>0</v>
      </c>
      <c r="N141" s="488"/>
      <c r="O141" s="479">
        <f t="shared" si="23"/>
        <v>0</v>
      </c>
      <c r="P141" s="479">
        <f t="shared" si="24"/>
        <v>0</v>
      </c>
    </row>
    <row r="142" spans="2:16" ht="12.5">
      <c r="B142" s="160" t="str">
        <f t="shared" si="12"/>
        <v/>
      </c>
      <c r="C142" s="473">
        <f>IF(D93="","-",+C141+1)</f>
        <v>2057</v>
      </c>
      <c r="D142" s="347">
        <f>IF(F141+SUM(E$99:E141)=D$92,F141,D$92-SUM(E$99:E141))</f>
        <v>0</v>
      </c>
      <c r="E142" s="485">
        <f t="shared" si="14"/>
        <v>0</v>
      </c>
      <c r="F142" s="486">
        <f t="shared" si="15"/>
        <v>0</v>
      </c>
      <c r="G142" s="486">
        <f t="shared" si="16"/>
        <v>0</v>
      </c>
      <c r="H142" s="489">
        <f t="shared" si="17"/>
        <v>0</v>
      </c>
      <c r="I142" s="543">
        <f t="shared" si="18"/>
        <v>0</v>
      </c>
      <c r="J142" s="479">
        <f t="shared" si="13"/>
        <v>0</v>
      </c>
      <c r="K142" s="479"/>
      <c r="L142" s="488"/>
      <c r="M142" s="479">
        <f t="shared" si="22"/>
        <v>0</v>
      </c>
      <c r="N142" s="488"/>
      <c r="O142" s="479">
        <f t="shared" si="23"/>
        <v>0</v>
      </c>
      <c r="P142" s="479">
        <f t="shared" si="24"/>
        <v>0</v>
      </c>
    </row>
    <row r="143" spans="2:16" ht="12.5">
      <c r="B143" s="160" t="str">
        <f t="shared" si="12"/>
        <v/>
      </c>
      <c r="C143" s="473">
        <f>IF(D93="","-",+C142+1)</f>
        <v>2058</v>
      </c>
      <c r="D143" s="347">
        <f>IF(F142+SUM(E$99:E142)=D$92,F142,D$92-SUM(E$99:E142))</f>
        <v>0</v>
      </c>
      <c r="E143" s="485">
        <f t="shared" si="14"/>
        <v>0</v>
      </c>
      <c r="F143" s="486">
        <f t="shared" si="15"/>
        <v>0</v>
      </c>
      <c r="G143" s="486">
        <f t="shared" si="16"/>
        <v>0</v>
      </c>
      <c r="H143" s="489">
        <f t="shared" si="17"/>
        <v>0</v>
      </c>
      <c r="I143" s="543">
        <f t="shared" si="18"/>
        <v>0</v>
      </c>
      <c r="J143" s="479">
        <f t="shared" si="13"/>
        <v>0</v>
      </c>
      <c r="K143" s="479"/>
      <c r="L143" s="488"/>
      <c r="M143" s="479">
        <f t="shared" si="22"/>
        <v>0</v>
      </c>
      <c r="N143" s="488"/>
      <c r="O143" s="479">
        <f t="shared" si="23"/>
        <v>0</v>
      </c>
      <c r="P143" s="479">
        <f t="shared" si="24"/>
        <v>0</v>
      </c>
    </row>
    <row r="144" spans="2:16" ht="12.5">
      <c r="B144" s="160" t="str">
        <f t="shared" si="12"/>
        <v/>
      </c>
      <c r="C144" s="473">
        <f>IF(D93="","-",+C143+1)</f>
        <v>2059</v>
      </c>
      <c r="D144" s="347">
        <f>IF(F143+SUM(E$99:E143)=D$92,F143,D$92-SUM(E$99:E143))</f>
        <v>0</v>
      </c>
      <c r="E144" s="485">
        <f t="shared" si="14"/>
        <v>0</v>
      </c>
      <c r="F144" s="486">
        <f t="shared" si="15"/>
        <v>0</v>
      </c>
      <c r="G144" s="486">
        <f t="shared" si="16"/>
        <v>0</v>
      </c>
      <c r="H144" s="489">
        <f t="shared" si="17"/>
        <v>0</v>
      </c>
      <c r="I144" s="543">
        <f t="shared" si="18"/>
        <v>0</v>
      </c>
      <c r="J144" s="479">
        <f t="shared" si="13"/>
        <v>0</v>
      </c>
      <c r="K144" s="479"/>
      <c r="L144" s="488"/>
      <c r="M144" s="479">
        <f t="shared" si="22"/>
        <v>0</v>
      </c>
      <c r="N144" s="488"/>
      <c r="O144" s="479">
        <f t="shared" si="23"/>
        <v>0</v>
      </c>
      <c r="P144" s="479">
        <f t="shared" si="24"/>
        <v>0</v>
      </c>
    </row>
    <row r="145" spans="2:16" ht="12.5">
      <c r="B145" s="160" t="str">
        <f t="shared" si="12"/>
        <v/>
      </c>
      <c r="C145" s="473">
        <f>IF(D93="","-",+C144+1)</f>
        <v>2060</v>
      </c>
      <c r="D145" s="347">
        <f>IF(F144+SUM(E$99:E144)=D$92,F144,D$92-SUM(E$99:E144))</f>
        <v>0</v>
      </c>
      <c r="E145" s="485">
        <f t="shared" si="14"/>
        <v>0</v>
      </c>
      <c r="F145" s="486">
        <f t="shared" si="15"/>
        <v>0</v>
      </c>
      <c r="G145" s="486">
        <f t="shared" si="16"/>
        <v>0</v>
      </c>
      <c r="H145" s="489">
        <f t="shared" si="17"/>
        <v>0</v>
      </c>
      <c r="I145" s="543">
        <f t="shared" si="18"/>
        <v>0</v>
      </c>
      <c r="J145" s="479">
        <f t="shared" si="13"/>
        <v>0</v>
      </c>
      <c r="K145" s="479"/>
      <c r="L145" s="488"/>
      <c r="M145" s="479">
        <f t="shared" si="22"/>
        <v>0</v>
      </c>
      <c r="N145" s="488"/>
      <c r="O145" s="479">
        <f t="shared" si="23"/>
        <v>0</v>
      </c>
      <c r="P145" s="479">
        <f t="shared" si="24"/>
        <v>0</v>
      </c>
    </row>
    <row r="146" spans="2:16" ht="12.5">
      <c r="B146" s="160" t="str">
        <f t="shared" si="12"/>
        <v/>
      </c>
      <c r="C146" s="473">
        <f>IF(D93="","-",+C145+1)</f>
        <v>2061</v>
      </c>
      <c r="D146" s="347">
        <f>IF(F145+SUM(E$99:E145)=D$92,F145,D$92-SUM(E$99:E145))</f>
        <v>0</v>
      </c>
      <c r="E146" s="485">
        <f t="shared" si="14"/>
        <v>0</v>
      </c>
      <c r="F146" s="486">
        <f t="shared" si="15"/>
        <v>0</v>
      </c>
      <c r="G146" s="486">
        <f t="shared" si="16"/>
        <v>0</v>
      </c>
      <c r="H146" s="489">
        <f t="shared" si="17"/>
        <v>0</v>
      </c>
      <c r="I146" s="543">
        <f t="shared" si="18"/>
        <v>0</v>
      </c>
      <c r="J146" s="479">
        <f t="shared" si="13"/>
        <v>0</v>
      </c>
      <c r="K146" s="479"/>
      <c r="L146" s="488"/>
      <c r="M146" s="479">
        <f t="shared" si="22"/>
        <v>0</v>
      </c>
      <c r="N146" s="488"/>
      <c r="O146" s="479">
        <f t="shared" si="23"/>
        <v>0</v>
      </c>
      <c r="P146" s="479">
        <f t="shared" si="24"/>
        <v>0</v>
      </c>
    </row>
    <row r="147" spans="2:16" ht="12.5">
      <c r="B147" s="160" t="str">
        <f t="shared" si="12"/>
        <v/>
      </c>
      <c r="C147" s="473">
        <f>IF(D93="","-",+C146+1)</f>
        <v>2062</v>
      </c>
      <c r="D147" s="347">
        <f>IF(F146+SUM(E$99:E146)=D$92,F146,D$92-SUM(E$99:E146))</f>
        <v>0</v>
      </c>
      <c r="E147" s="485">
        <f t="shared" si="14"/>
        <v>0</v>
      </c>
      <c r="F147" s="486">
        <f t="shared" si="15"/>
        <v>0</v>
      </c>
      <c r="G147" s="486">
        <f t="shared" si="16"/>
        <v>0</v>
      </c>
      <c r="H147" s="489">
        <f t="shared" si="17"/>
        <v>0</v>
      </c>
      <c r="I147" s="543">
        <f t="shared" si="18"/>
        <v>0</v>
      </c>
      <c r="J147" s="479">
        <f t="shared" si="13"/>
        <v>0</v>
      </c>
      <c r="K147" s="479"/>
      <c r="L147" s="488"/>
      <c r="M147" s="479">
        <f t="shared" si="22"/>
        <v>0</v>
      </c>
      <c r="N147" s="488"/>
      <c r="O147" s="479">
        <f t="shared" si="23"/>
        <v>0</v>
      </c>
      <c r="P147" s="479">
        <f t="shared" si="24"/>
        <v>0</v>
      </c>
    </row>
    <row r="148" spans="2:16" ht="12.5">
      <c r="B148" s="160" t="str">
        <f t="shared" si="12"/>
        <v/>
      </c>
      <c r="C148" s="473">
        <f>IF(D93="","-",+C147+1)</f>
        <v>2063</v>
      </c>
      <c r="D148" s="347">
        <f>IF(F147+SUM(E$99:E147)=D$92,F147,D$92-SUM(E$99:E147))</f>
        <v>0</v>
      </c>
      <c r="E148" s="485">
        <f t="shared" si="14"/>
        <v>0</v>
      </c>
      <c r="F148" s="486">
        <f t="shared" si="15"/>
        <v>0</v>
      </c>
      <c r="G148" s="486">
        <f t="shared" si="16"/>
        <v>0</v>
      </c>
      <c r="H148" s="489">
        <f t="shared" si="17"/>
        <v>0</v>
      </c>
      <c r="I148" s="543">
        <f t="shared" si="18"/>
        <v>0</v>
      </c>
      <c r="J148" s="479">
        <f t="shared" si="13"/>
        <v>0</v>
      </c>
      <c r="K148" s="479"/>
      <c r="L148" s="488"/>
      <c r="M148" s="479">
        <f t="shared" si="22"/>
        <v>0</v>
      </c>
      <c r="N148" s="488"/>
      <c r="O148" s="479">
        <f t="shared" si="23"/>
        <v>0</v>
      </c>
      <c r="P148" s="479">
        <f t="shared" si="24"/>
        <v>0</v>
      </c>
    </row>
    <row r="149" spans="2:16" ht="12.5">
      <c r="B149" s="160" t="str">
        <f t="shared" si="12"/>
        <v/>
      </c>
      <c r="C149" s="473">
        <f>IF(D93="","-",+C148+1)</f>
        <v>2064</v>
      </c>
      <c r="D149" s="347">
        <f>IF(F148+SUM(E$99:E148)=D$92,F148,D$92-SUM(E$99:E148))</f>
        <v>0</v>
      </c>
      <c r="E149" s="485">
        <f t="shared" si="14"/>
        <v>0</v>
      </c>
      <c r="F149" s="486">
        <f t="shared" si="15"/>
        <v>0</v>
      </c>
      <c r="G149" s="486">
        <f t="shared" si="16"/>
        <v>0</v>
      </c>
      <c r="H149" s="489">
        <f t="shared" si="17"/>
        <v>0</v>
      </c>
      <c r="I149" s="543">
        <f t="shared" si="18"/>
        <v>0</v>
      </c>
      <c r="J149" s="479">
        <f t="shared" si="13"/>
        <v>0</v>
      </c>
      <c r="K149" s="479"/>
      <c r="L149" s="488"/>
      <c r="M149" s="479">
        <f t="shared" si="22"/>
        <v>0</v>
      </c>
      <c r="N149" s="488"/>
      <c r="O149" s="479">
        <f t="shared" si="23"/>
        <v>0</v>
      </c>
      <c r="P149" s="479">
        <f t="shared" si="24"/>
        <v>0</v>
      </c>
    </row>
    <row r="150" spans="2:16" ht="12.5">
      <c r="B150" s="160" t="str">
        <f t="shared" si="12"/>
        <v/>
      </c>
      <c r="C150" s="473">
        <f>IF(D93="","-",+C149+1)</f>
        <v>2065</v>
      </c>
      <c r="D150" s="347">
        <f>IF(F149+SUM(E$99:E149)=D$92,F149,D$92-SUM(E$99:E149))</f>
        <v>0</v>
      </c>
      <c r="E150" s="485">
        <f t="shared" si="14"/>
        <v>0</v>
      </c>
      <c r="F150" s="486">
        <f t="shared" si="15"/>
        <v>0</v>
      </c>
      <c r="G150" s="486">
        <f t="shared" si="16"/>
        <v>0</v>
      </c>
      <c r="H150" s="489">
        <f t="shared" si="17"/>
        <v>0</v>
      </c>
      <c r="I150" s="543">
        <f t="shared" si="18"/>
        <v>0</v>
      </c>
      <c r="J150" s="479">
        <f t="shared" si="13"/>
        <v>0</v>
      </c>
      <c r="K150" s="479"/>
      <c r="L150" s="488"/>
      <c r="M150" s="479">
        <f t="shared" si="22"/>
        <v>0</v>
      </c>
      <c r="N150" s="488"/>
      <c r="O150" s="479">
        <f t="shared" si="23"/>
        <v>0</v>
      </c>
      <c r="P150" s="479">
        <f t="shared" si="24"/>
        <v>0</v>
      </c>
    </row>
    <row r="151" spans="2:16" ht="12.5">
      <c r="B151" s="160" t="str">
        <f t="shared" si="12"/>
        <v/>
      </c>
      <c r="C151" s="473">
        <f>IF(D93="","-",+C150+1)</f>
        <v>2066</v>
      </c>
      <c r="D151" s="347">
        <f>IF(F150+SUM(E$99:E150)=D$92,F150,D$92-SUM(E$99:E150))</f>
        <v>0</v>
      </c>
      <c r="E151" s="485">
        <f t="shared" si="14"/>
        <v>0</v>
      </c>
      <c r="F151" s="486">
        <f t="shared" si="15"/>
        <v>0</v>
      </c>
      <c r="G151" s="486">
        <f t="shared" si="16"/>
        <v>0</v>
      </c>
      <c r="H151" s="489">
        <f t="shared" si="17"/>
        <v>0</v>
      </c>
      <c r="I151" s="543">
        <f t="shared" si="18"/>
        <v>0</v>
      </c>
      <c r="J151" s="479">
        <f t="shared" si="13"/>
        <v>0</v>
      </c>
      <c r="K151" s="479"/>
      <c r="L151" s="488"/>
      <c r="M151" s="479">
        <f t="shared" si="22"/>
        <v>0</v>
      </c>
      <c r="N151" s="488"/>
      <c r="O151" s="479">
        <f t="shared" si="23"/>
        <v>0</v>
      </c>
      <c r="P151" s="479">
        <f t="shared" si="24"/>
        <v>0</v>
      </c>
    </row>
    <row r="152" spans="2:16" ht="12.5">
      <c r="B152" s="160" t="str">
        <f t="shared" si="12"/>
        <v/>
      </c>
      <c r="C152" s="473">
        <f>IF(D93="","-",+C151+1)</f>
        <v>2067</v>
      </c>
      <c r="D152" s="347">
        <f>IF(F151+SUM(E$99:E151)=D$92,F151,D$92-SUM(E$99:E151))</f>
        <v>0</v>
      </c>
      <c r="E152" s="485">
        <f t="shared" si="14"/>
        <v>0</v>
      </c>
      <c r="F152" s="486">
        <f t="shared" si="15"/>
        <v>0</v>
      </c>
      <c r="G152" s="486">
        <f t="shared" si="16"/>
        <v>0</v>
      </c>
      <c r="H152" s="489">
        <f t="shared" si="17"/>
        <v>0</v>
      </c>
      <c r="I152" s="543">
        <f t="shared" si="18"/>
        <v>0</v>
      </c>
      <c r="J152" s="479">
        <f t="shared" si="13"/>
        <v>0</v>
      </c>
      <c r="K152" s="479"/>
      <c r="L152" s="488"/>
      <c r="M152" s="479">
        <f t="shared" si="22"/>
        <v>0</v>
      </c>
      <c r="N152" s="488"/>
      <c r="O152" s="479">
        <f t="shared" si="23"/>
        <v>0</v>
      </c>
      <c r="P152" s="479">
        <f t="shared" si="24"/>
        <v>0</v>
      </c>
    </row>
    <row r="153" spans="2:16" ht="12.5">
      <c r="B153" s="160" t="str">
        <f t="shared" si="12"/>
        <v/>
      </c>
      <c r="C153" s="473">
        <f>IF(D93="","-",+C152+1)</f>
        <v>2068</v>
      </c>
      <c r="D153" s="347">
        <f>IF(F152+SUM(E$99:E152)=D$92,F152,D$92-SUM(E$99:E152))</f>
        <v>0</v>
      </c>
      <c r="E153" s="485">
        <f t="shared" si="14"/>
        <v>0</v>
      </c>
      <c r="F153" s="486">
        <f t="shared" si="15"/>
        <v>0</v>
      </c>
      <c r="G153" s="486">
        <f t="shared" si="16"/>
        <v>0</v>
      </c>
      <c r="H153" s="489">
        <f t="shared" si="17"/>
        <v>0</v>
      </c>
      <c r="I153" s="543">
        <f t="shared" si="18"/>
        <v>0</v>
      </c>
      <c r="J153" s="479">
        <f t="shared" si="13"/>
        <v>0</v>
      </c>
      <c r="K153" s="479"/>
      <c r="L153" s="488"/>
      <c r="M153" s="479">
        <f t="shared" si="22"/>
        <v>0</v>
      </c>
      <c r="N153" s="488"/>
      <c r="O153" s="479">
        <f t="shared" si="23"/>
        <v>0</v>
      </c>
      <c r="P153" s="479">
        <f t="shared" si="24"/>
        <v>0</v>
      </c>
    </row>
    <row r="154" spans="2:16" ht="13" thickBot="1">
      <c r="B154" s="160" t="str">
        <f t="shared" si="12"/>
        <v/>
      </c>
      <c r="C154" s="490">
        <f>IF(D93="","-",+C153+1)</f>
        <v>2069</v>
      </c>
      <c r="D154" s="347">
        <f>IF(F153+SUM(E$99:E153)=D$92,F153,D$92-SUM(E$99:E153))</f>
        <v>0</v>
      </c>
      <c r="E154" s="485">
        <f t="shared" si="14"/>
        <v>0</v>
      </c>
      <c r="F154" s="486">
        <f t="shared" si="15"/>
        <v>0</v>
      </c>
      <c r="G154" s="486">
        <f t="shared" si="16"/>
        <v>0</v>
      </c>
      <c r="H154" s="489">
        <f t="shared" si="17"/>
        <v>0</v>
      </c>
      <c r="I154" s="543">
        <f t="shared" si="18"/>
        <v>0</v>
      </c>
      <c r="J154" s="479">
        <f t="shared" si="13"/>
        <v>0</v>
      </c>
      <c r="K154" s="479"/>
      <c r="L154" s="495"/>
      <c r="M154" s="496">
        <f t="shared" si="22"/>
        <v>0</v>
      </c>
      <c r="N154" s="495"/>
      <c r="O154" s="496">
        <f t="shared" si="23"/>
        <v>0</v>
      </c>
      <c r="P154" s="496">
        <f t="shared" si="24"/>
        <v>0</v>
      </c>
    </row>
    <row r="155" spans="2:16" ht="12.5">
      <c r="C155" s="347" t="s">
        <v>77</v>
      </c>
      <c r="D155" s="348"/>
      <c r="E155" s="348">
        <f>SUM(E99:E154)</f>
        <v>5059278</v>
      </c>
      <c r="F155" s="348"/>
      <c r="G155" s="348"/>
      <c r="H155" s="348">
        <f>SUM(H99:H154)</f>
        <v>16753222.458634097</v>
      </c>
      <c r="I155" s="348">
        <f>SUM(I99:I154)</f>
        <v>16753222.458634097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tabSelected="1" view="pageBreakPreview" topLeftCell="F1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16.1796875" style="148" customWidth="1"/>
    <col min="10" max="10" width="2.179687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3.54296875" style="148" bestFit="1" customWidth="1"/>
    <col min="17" max="17" width="4.7265625" style="148" customWidth="1"/>
    <col min="18" max="18" width="15.453125" style="148" customWidth="1"/>
    <col min="19" max="19" width="81.81640625" style="148" bestFit="1" customWidth="1"/>
    <col min="20" max="22" width="8.7265625" style="148"/>
    <col min="23" max="23" width="9.1796875" style="148" customWidth="1"/>
    <col min="24" max="16384" width="8.7265625" style="148"/>
  </cols>
  <sheetData>
    <row r="1" spans="1:18" ht="17.5">
      <c r="A1" s="636" t="s">
        <v>123</v>
      </c>
      <c r="B1" s="637"/>
      <c r="C1" s="637"/>
      <c r="D1" s="637"/>
      <c r="E1" s="637"/>
      <c r="F1" s="637"/>
      <c r="G1" s="637"/>
      <c r="H1" s="637"/>
      <c r="I1" s="637"/>
      <c r="J1" s="637"/>
    </row>
    <row r="2" spans="1:18" ht="17.5">
      <c r="A2" s="638" t="str">
        <f>L19+1&amp;" Cost of Service Formula Rate Projected on "&amp;L19&amp;" FF1 Balances"</f>
        <v>2020 Cost of Service Formula Rate Projected on 2019 FF1 Balances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18" ht="18">
      <c r="A3" s="639" t="s">
        <v>140</v>
      </c>
      <c r="B3" s="638"/>
      <c r="C3" s="638"/>
      <c r="D3" s="638"/>
      <c r="E3" s="638"/>
      <c r="F3" s="638"/>
      <c r="G3" s="638"/>
      <c r="H3" s="638"/>
      <c r="I3" s="638"/>
      <c r="J3" s="638"/>
      <c r="Q3" s="240" t="s">
        <v>125</v>
      </c>
    </row>
    <row r="4" spans="1:18" ht="17.5">
      <c r="A4" s="638" t="str">
        <f>"Based on a Carrying Charge Derived from ""Historic"" "&amp;L19&amp;" Data"</f>
        <v>Based on a Carrying Charge Derived from "Historic" 2019 Data</v>
      </c>
      <c r="B4" s="638"/>
      <c r="C4" s="638"/>
      <c r="D4" s="638"/>
      <c r="E4" s="638"/>
      <c r="F4" s="638"/>
      <c r="G4" s="638"/>
      <c r="H4" s="638"/>
      <c r="I4" s="638"/>
      <c r="J4" s="638"/>
    </row>
    <row r="5" spans="1:18" ht="18">
      <c r="A5" s="640" t="s">
        <v>124</v>
      </c>
      <c r="B5" s="640"/>
      <c r="C5" s="640"/>
      <c r="D5" s="640"/>
      <c r="E5" s="640"/>
      <c r="F5" s="640"/>
      <c r="G5" s="640"/>
      <c r="H5" s="640"/>
      <c r="I5" s="640"/>
      <c r="J5" s="640"/>
    </row>
    <row r="6" spans="1:18" ht="12.5">
      <c r="A6" s="233"/>
      <c r="B6" s="233"/>
      <c r="C6" s="233"/>
      <c r="D6" s="241"/>
      <c r="E6" s="233"/>
      <c r="F6" s="233"/>
      <c r="G6" s="233"/>
      <c r="H6" s="242"/>
      <c r="I6" s="233"/>
      <c r="J6" s="243"/>
    </row>
    <row r="7" spans="1:18" ht="12.5">
      <c r="D7" s="160"/>
      <c r="H7" s="217"/>
      <c r="J7" s="195"/>
    </row>
    <row r="8" spans="1:18" ht="38.25" customHeight="1">
      <c r="B8" s="244" t="s">
        <v>0</v>
      </c>
      <c r="C8" s="632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33"/>
      <c r="E8" s="633"/>
      <c r="F8" s="633"/>
      <c r="G8" s="633"/>
      <c r="H8" s="633"/>
      <c r="J8" s="195"/>
      <c r="R8" s="235"/>
    </row>
    <row r="9" spans="1:18" ht="12.5">
      <c r="D9" s="160"/>
      <c r="H9" s="217"/>
      <c r="J9" s="195"/>
    </row>
    <row r="10" spans="1:18" ht="15.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7"/>
      <c r="J10" s="195"/>
      <c r="K10" s="246"/>
      <c r="L10" s="247"/>
    </row>
    <row r="11" spans="1:18" ht="12.5">
      <c r="D11" s="160"/>
      <c r="H11" s="217"/>
      <c r="J11" s="195"/>
    </row>
    <row r="12" spans="1:18" ht="12.5">
      <c r="C12" s="248" t="str">
        <f>S105</f>
        <v xml:space="preserve">   ROE w/o incentives  (Projected TCOS, ln 148)</v>
      </c>
      <c r="D12" s="160"/>
      <c r="E12" s="249"/>
      <c r="F12" s="250">
        <v>0.112</v>
      </c>
      <c r="G12" s="251"/>
      <c r="H12" s="252"/>
      <c r="I12" s="253"/>
      <c r="J12" s="254"/>
      <c r="K12" s="253"/>
      <c r="L12" s="253"/>
      <c r="M12" s="253"/>
      <c r="N12" s="253"/>
      <c r="O12" s="249"/>
      <c r="P12" s="253"/>
      <c r="Q12" s="233"/>
    </row>
    <row r="13" spans="1:18" ht="12.5">
      <c r="C13" s="248" t="s">
        <v>1</v>
      </c>
      <c r="D13" s="160"/>
      <c r="E13" s="249"/>
      <c r="F13" s="255">
        <f>+R106</f>
        <v>0</v>
      </c>
      <c r="G13" s="148" t="s">
        <v>152</v>
      </c>
      <c r="K13" s="253"/>
      <c r="L13" s="253"/>
      <c r="M13" s="253"/>
      <c r="N13" s="253"/>
      <c r="O13" s="249"/>
      <c r="P13" s="253"/>
      <c r="Q13" s="233"/>
    </row>
    <row r="14" spans="1:18" ht="13.5" thickBot="1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0.112</v>
      </c>
      <c r="G14" s="257" t="s">
        <v>2</v>
      </c>
      <c r="H14" s="253"/>
      <c r="I14" s="253"/>
      <c r="J14" s="254"/>
      <c r="K14" s="253"/>
      <c r="L14" s="253"/>
      <c r="M14" s="253"/>
      <c r="N14" s="253"/>
      <c r="O14" s="249"/>
      <c r="P14" s="253"/>
      <c r="Q14" s="233"/>
    </row>
    <row r="15" spans="1:18" ht="12.5">
      <c r="C15" s="248" t="s">
        <v>231</v>
      </c>
      <c r="D15" s="160"/>
      <c r="E15" s="249"/>
      <c r="F15" s="256"/>
      <c r="G15" s="249"/>
      <c r="H15" s="253"/>
      <c r="I15" s="253"/>
      <c r="J15" s="254"/>
      <c r="K15" s="626" t="s">
        <v>3</v>
      </c>
      <c r="L15" s="627"/>
      <c r="M15" s="627"/>
      <c r="N15" s="627"/>
      <c r="O15" s="628"/>
      <c r="P15" s="253"/>
      <c r="Q15" s="233"/>
    </row>
    <row r="16" spans="1:18" ht="12.5">
      <c r="C16" s="254"/>
      <c r="D16" s="258" t="s">
        <v>4</v>
      </c>
      <c r="E16" s="258" t="s">
        <v>5</v>
      </c>
      <c r="F16" s="259" t="s">
        <v>6</v>
      </c>
      <c r="G16" s="249"/>
      <c r="H16" s="253"/>
      <c r="I16" s="253"/>
      <c r="J16" s="254"/>
      <c r="K16" s="629"/>
      <c r="L16" s="630"/>
      <c r="M16" s="630"/>
      <c r="N16" s="630"/>
      <c r="O16" s="631"/>
      <c r="P16" s="253"/>
      <c r="Q16" s="233"/>
    </row>
    <row r="17" spans="3:17" ht="12.5">
      <c r="C17" s="260" t="s">
        <v>7</v>
      </c>
      <c r="D17" s="261">
        <f>+R107</f>
        <v>0.52757845882694709</v>
      </c>
      <c r="E17" s="262">
        <f>+R108</f>
        <v>4.7207513015079E-2</v>
      </c>
      <c r="F17" s="263">
        <f>E17*D17</f>
        <v>2.4905666961548424E-2</v>
      </c>
      <c r="G17" s="249"/>
      <c r="H17" s="253"/>
      <c r="I17" s="264"/>
      <c r="J17" s="265"/>
      <c r="K17" s="266"/>
      <c r="L17" s="267"/>
      <c r="M17" s="254" t="s">
        <v>8</v>
      </c>
      <c r="N17" s="254" t="s">
        <v>9</v>
      </c>
      <c r="O17" s="268" t="s">
        <v>10</v>
      </c>
      <c r="P17" s="253"/>
      <c r="Q17" s="233"/>
    </row>
    <row r="18" spans="3:17" ht="12.5">
      <c r="C18" s="260" t="s">
        <v>11</v>
      </c>
      <c r="D18" s="261">
        <f>+R109</f>
        <v>0</v>
      </c>
      <c r="E18" s="262">
        <f>+R110</f>
        <v>0</v>
      </c>
      <c r="F18" s="263">
        <f>E18*D18</f>
        <v>0</v>
      </c>
      <c r="G18" s="269"/>
      <c r="H18" s="269"/>
      <c r="I18" s="270"/>
      <c r="J18" s="271"/>
      <c r="K18" s="272"/>
      <c r="L18" s="195"/>
      <c r="M18" s="195"/>
      <c r="N18" s="195"/>
      <c r="O18" s="273"/>
      <c r="P18" s="269"/>
      <c r="Q18" s="233"/>
    </row>
    <row r="19" spans="3:17" ht="13" thickBot="1">
      <c r="C19" s="274" t="s">
        <v>12</v>
      </c>
      <c r="D19" s="261">
        <f>+R111</f>
        <v>0.47242154117305285</v>
      </c>
      <c r="E19" s="262">
        <f>+F14</f>
        <v>0.112</v>
      </c>
      <c r="F19" s="275">
        <f>E19*D19</f>
        <v>5.2911212611381923E-2</v>
      </c>
      <c r="G19" s="269"/>
      <c r="H19" s="269"/>
      <c r="I19" s="256"/>
      <c r="J19" s="271"/>
      <c r="K19" s="276" t="s">
        <v>13</v>
      </c>
      <c r="L19" s="277">
        <f>R104</f>
        <v>2019</v>
      </c>
      <c r="M19" s="278">
        <f>SUM('P.001:P.xyz - blank'!N5)</f>
        <v>7284760.4319926891</v>
      </c>
      <c r="N19" s="278">
        <f>SUM('P.001:P.xyz - blank'!N6)</f>
        <v>7284760.4319926891</v>
      </c>
      <c r="O19" s="279">
        <f>+N19-M19</f>
        <v>0</v>
      </c>
      <c r="P19" s="270"/>
      <c r="Q19" s="233"/>
    </row>
    <row r="20" spans="3:17" ht="12.5">
      <c r="C20" s="248"/>
      <c r="D20" s="249"/>
      <c r="E20" s="280" t="s">
        <v>14</v>
      </c>
      <c r="F20" s="263">
        <f>SUM(F17:F19)</f>
        <v>7.7816879572930348E-2</v>
      </c>
      <c r="G20" s="269"/>
      <c r="H20" s="269"/>
      <c r="I20" s="270"/>
      <c r="J20" s="271"/>
      <c r="M20" s="281" t="str">
        <f>IF(M19=SUM('P.001:P.xyz - blank'!N5),"","ERROR")</f>
        <v/>
      </c>
      <c r="N20" s="281" t="str">
        <f>IF(N19=SUM('P.001:P.xyz - blank'!N6),"","ERROR")</f>
        <v/>
      </c>
      <c r="O20" s="281" t="str">
        <f>IF(O19=SUM('P.001:P.xyz - blank'!N7),"","ERROR")</f>
        <v/>
      </c>
      <c r="P20" s="269"/>
      <c r="Q20" s="233"/>
    </row>
    <row r="21" spans="3:17" ht="13">
      <c r="D21" s="282"/>
      <c r="E21" s="282"/>
      <c r="F21" s="269"/>
      <c r="G21" s="269"/>
      <c r="H21" s="269"/>
      <c r="I21" s="269"/>
      <c r="J21" s="283"/>
      <c r="K21" s="178" t="s">
        <v>15</v>
      </c>
      <c r="P21" s="269"/>
      <c r="Q21" s="233"/>
    </row>
    <row r="22" spans="3:17" ht="15.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69"/>
      <c r="H22" s="249"/>
      <c r="I22" s="269"/>
      <c r="J22" s="283"/>
      <c r="K22" s="148" t="s">
        <v>16</v>
      </c>
      <c r="P22" s="269"/>
      <c r="Q22" s="233"/>
    </row>
    <row r="23" spans="3:17" ht="12.5">
      <c r="C23" s="254"/>
      <c r="D23" s="282"/>
      <c r="E23" s="282"/>
      <c r="F23" s="283"/>
      <c r="G23" s="283"/>
      <c r="H23" s="283"/>
      <c r="I23" s="283"/>
      <c r="J23" s="283"/>
      <c r="K23" s="270"/>
      <c r="L23" s="285"/>
      <c r="M23" s="237"/>
      <c r="N23" s="270"/>
      <c r="O23" s="269"/>
      <c r="P23" s="283"/>
      <c r="Q23" s="243"/>
    </row>
    <row r="24" spans="3:17" ht="12.5">
      <c r="C24" s="248" t="str">
        <f>+S112</f>
        <v xml:space="preserve">   Rate Base  (TCOS, ln 62)</v>
      </c>
      <c r="D24" s="249"/>
      <c r="E24" s="286">
        <f>+R112</f>
        <v>477207425.97582793</v>
      </c>
      <c r="F24" s="287"/>
      <c r="G24" s="283"/>
      <c r="H24" s="283"/>
      <c r="I24" s="283"/>
      <c r="J24" s="283"/>
      <c r="K24" s="283"/>
      <c r="L24" s="283"/>
      <c r="M24" s="283"/>
      <c r="N24" s="283"/>
      <c r="O24" s="283"/>
      <c r="P24" s="287"/>
      <c r="Q24" s="243"/>
    </row>
    <row r="25" spans="3:17" ht="12.5">
      <c r="C25" s="254" t="s">
        <v>17</v>
      </c>
      <c r="D25" s="251"/>
      <c r="E25" s="288">
        <f>F20</f>
        <v>7.7816879572930348E-2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43"/>
    </row>
    <row r="26" spans="3:17" ht="12.5">
      <c r="C26" s="289" t="s">
        <v>18</v>
      </c>
      <c r="D26" s="289"/>
      <c r="E26" s="270">
        <f>E24*E25</f>
        <v>37134792.798469074</v>
      </c>
      <c r="F26" s="283"/>
      <c r="G26" s="283"/>
      <c r="H26" s="283"/>
      <c r="I26" s="271"/>
      <c r="J26" s="271"/>
      <c r="K26" s="271"/>
      <c r="L26" s="271"/>
      <c r="M26" s="283"/>
      <c r="N26" s="271"/>
      <c r="O26" s="283"/>
      <c r="P26" s="283"/>
      <c r="Q26" s="243"/>
    </row>
    <row r="27" spans="3:17" ht="12.5">
      <c r="C27" s="290"/>
      <c r="D27" s="253"/>
      <c r="E27" s="253"/>
      <c r="F27" s="283"/>
      <c r="G27" s="283"/>
      <c r="H27" s="283"/>
      <c r="I27" s="271"/>
      <c r="J27" s="271"/>
      <c r="K27" s="271"/>
      <c r="L27" s="271"/>
      <c r="M27" s="283"/>
      <c r="N27" s="271"/>
      <c r="O27" s="283"/>
      <c r="P27" s="283"/>
      <c r="Q27" s="243"/>
    </row>
    <row r="28" spans="3:17" ht="15.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3"/>
      <c r="J28" s="293"/>
      <c r="K28" s="293"/>
      <c r="L28" s="293"/>
      <c r="M28" s="283"/>
      <c r="N28" s="293"/>
      <c r="O28" s="292"/>
      <c r="P28" s="292"/>
      <c r="Q28" s="243"/>
    </row>
    <row r="29" spans="3:17" ht="12.5">
      <c r="C29" s="248"/>
      <c r="D29" s="253"/>
      <c r="E29" s="253"/>
      <c r="F29" s="283"/>
      <c r="G29" s="283"/>
      <c r="H29" s="283"/>
      <c r="I29" s="271"/>
      <c r="J29" s="271"/>
      <c r="K29" s="271"/>
      <c r="L29" s="271"/>
      <c r="M29" s="283"/>
      <c r="N29" s="271"/>
      <c r="O29" s="283"/>
      <c r="P29" s="283"/>
      <c r="Q29" s="243"/>
    </row>
    <row r="30" spans="3:17" ht="12.5">
      <c r="C30" s="254" t="s">
        <v>19</v>
      </c>
      <c r="D30" s="280"/>
      <c r="E30" s="294">
        <f>E26</f>
        <v>37134792.798469074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43"/>
    </row>
    <row r="31" spans="3:17" ht="12.5">
      <c r="C31" s="248" t="str">
        <f>+S113</f>
        <v xml:space="preserve">   Tax Rate  (TCOS, ln 97)</v>
      </c>
      <c r="D31" s="280"/>
      <c r="E31" s="295">
        <f>+R113</f>
        <v>0.38561999999999996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43"/>
    </row>
    <row r="32" spans="3:17" ht="12.5">
      <c r="C32" s="254" t="s">
        <v>20</v>
      </c>
      <c r="D32" s="241"/>
      <c r="E32" s="256">
        <f>IF(F17&gt;0,($E31/(1-$E31))*(1-$F17/$F20),0)</f>
        <v>0.4267724574504374</v>
      </c>
      <c r="F32" s="233"/>
      <c r="G32" s="256"/>
      <c r="H32" s="242"/>
      <c r="I32" s="233"/>
      <c r="J32" s="243"/>
      <c r="K32" s="233"/>
      <c r="L32" s="233"/>
      <c r="M32" s="233"/>
      <c r="N32" s="233"/>
      <c r="O32" s="233"/>
      <c r="P32" s="233"/>
      <c r="Q32" s="233"/>
    </row>
    <row r="33" spans="2:19" ht="12.5">
      <c r="C33" s="289" t="s">
        <v>21</v>
      </c>
      <c r="D33" s="296"/>
      <c r="E33" s="297">
        <f>E30*E32</f>
        <v>15848106.779515453</v>
      </c>
      <c r="F33" s="297"/>
      <c r="G33" s="233"/>
      <c r="H33" s="242"/>
      <c r="I33" s="233"/>
      <c r="J33" s="243"/>
      <c r="K33" s="233"/>
      <c r="L33" s="233"/>
      <c r="M33" s="233"/>
      <c r="N33" s="233"/>
      <c r="O33" s="233"/>
      <c r="P33" s="233"/>
      <c r="Q33" s="233"/>
    </row>
    <row r="34" spans="2:19" ht="15.5">
      <c r="C34" s="248" t="str">
        <f>+S114</f>
        <v xml:space="preserve">   ITC Adjustment  (TCOS, ln 106)</v>
      </c>
      <c r="D34" s="298"/>
      <c r="E34" s="299">
        <f>+R114</f>
        <v>-456068.24706954265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</row>
    <row r="35" spans="2:19" ht="15.5">
      <c r="C35" s="248" t="str">
        <f>+S115</f>
        <v xml:space="preserve">   Excess DFIT Adjustment  (TCOS, ln 107)</v>
      </c>
      <c r="D35" s="298"/>
      <c r="E35" s="299">
        <f>+R115</f>
        <v>-156255.08642859466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</row>
    <row r="36" spans="2:19" ht="15.5">
      <c r="C36" s="248" t="str">
        <f>+S116</f>
        <v xml:space="preserve">   Tax Effect of Permanent and Flow Through Differences  (TCOS, ln 108)</v>
      </c>
      <c r="D36" s="298"/>
      <c r="E36" s="299">
        <f>+R116</f>
        <v>157231.68071877339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</row>
    <row r="37" spans="2:19" ht="15.5">
      <c r="C37" s="290" t="s">
        <v>22</v>
      </c>
      <c r="D37" s="298"/>
      <c r="E37" s="299">
        <f>E33+E34+E35+E36</f>
        <v>15393015.12673609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33"/>
      <c r="S38" s="233"/>
    </row>
    <row r="39" spans="2:19" ht="18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33"/>
      <c r="S39" s="233"/>
    </row>
    <row r="40" spans="2:19" ht="15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3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33"/>
      <c r="S41" s="233"/>
    </row>
    <row r="42" spans="2:19" ht="15.5">
      <c r="C42" s="245" t="s">
        <v>24</v>
      </c>
      <c r="D42" s="298"/>
      <c r="E42" s="298"/>
      <c r="F42" s="305"/>
      <c r="G42" s="298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33"/>
      <c r="S42" s="233"/>
    </row>
    <row r="43" spans="2:19" ht="12.5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33"/>
      <c r="S43" s="233"/>
    </row>
    <row r="44" spans="2:19" ht="12.75" customHeight="1">
      <c r="B44" s="233"/>
      <c r="C44" s="248" t="str">
        <f>+S117</f>
        <v xml:space="preserve">   Net Revenue Requirement  (TCOS, ln 115)</v>
      </c>
      <c r="D44" s="307"/>
      <c r="E44" s="307"/>
      <c r="F44" s="299">
        <f>+R117</f>
        <v>103001722.93626815</v>
      </c>
      <c r="G44" s="307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33"/>
      <c r="S44" s="233"/>
    </row>
    <row r="45" spans="2:19" ht="12.5">
      <c r="B45" s="233"/>
      <c r="C45" s="248" t="str">
        <f>+S118</f>
        <v xml:space="preserve">   Return  (TCOS, ln 110)</v>
      </c>
      <c r="D45" s="307"/>
      <c r="E45" s="307"/>
      <c r="F45" s="308">
        <f>+R118</f>
        <v>37134792.798469074</v>
      </c>
      <c r="G45" s="309"/>
      <c r="H45" s="309"/>
      <c r="I45" s="309"/>
      <c r="J45" s="309"/>
      <c r="K45" s="309"/>
      <c r="L45" s="309"/>
      <c r="M45" s="309"/>
      <c r="N45" s="309"/>
      <c r="O45" s="309"/>
      <c r="P45" s="299"/>
      <c r="Q45" s="307"/>
      <c r="R45" s="233"/>
      <c r="S45" s="233"/>
    </row>
    <row r="46" spans="2:19" ht="12.5">
      <c r="B46" s="233"/>
      <c r="C46" s="248" t="str">
        <f>+S119</f>
        <v xml:space="preserve">   Income Taxes  (TCOS, ln 109)</v>
      </c>
      <c r="D46" s="307"/>
      <c r="E46" s="307"/>
      <c r="F46" s="299">
        <f>+R119</f>
        <v>15393015.12673609</v>
      </c>
      <c r="G46" s="307"/>
      <c r="H46" s="307"/>
      <c r="I46" s="310"/>
      <c r="J46" s="310"/>
      <c r="K46" s="310"/>
      <c r="L46" s="310"/>
      <c r="M46" s="310"/>
      <c r="N46" s="310"/>
      <c r="O46" s="307"/>
      <c r="P46" s="307"/>
      <c r="Q46" s="307"/>
      <c r="R46" s="233"/>
      <c r="S46" s="233"/>
    </row>
    <row r="47" spans="2:19" ht="12.5">
      <c r="B47" s="233"/>
      <c r="C47" s="306" t="str">
        <f>+S120</f>
        <v xml:space="preserve">  Gross Margin Taxes  (TCOS, ln 114)</v>
      </c>
      <c r="D47" s="307"/>
      <c r="E47" s="307"/>
      <c r="F47" s="311">
        <f>+R120</f>
        <v>0</v>
      </c>
      <c r="G47" s="307"/>
      <c r="H47" s="307"/>
      <c r="I47" s="310"/>
      <c r="J47" s="310"/>
      <c r="K47" s="310"/>
      <c r="L47" s="310"/>
      <c r="M47" s="310"/>
      <c r="N47" s="310"/>
      <c r="O47" s="307"/>
      <c r="P47" s="307"/>
      <c r="Q47" s="307"/>
      <c r="R47" s="233"/>
      <c r="S47" s="233"/>
    </row>
    <row r="48" spans="2:19" ht="12.5">
      <c r="B48" s="233"/>
      <c r="C48" s="312" t="s">
        <v>25</v>
      </c>
      <c r="D48" s="307"/>
      <c r="E48" s="307"/>
      <c r="F48" s="308">
        <f>F44-F45-F46-F47</f>
        <v>50473915.011062987</v>
      </c>
      <c r="G48" s="313"/>
      <c r="H48" s="307"/>
      <c r="I48" s="313"/>
      <c r="J48" s="313"/>
      <c r="K48" s="313"/>
      <c r="L48" s="313"/>
      <c r="M48" s="313"/>
      <c r="N48" s="313"/>
      <c r="O48" s="307"/>
      <c r="P48" s="313"/>
      <c r="Q48" s="307"/>
      <c r="R48" s="233"/>
      <c r="S48" s="233"/>
    </row>
    <row r="49" spans="2:19" ht="12.5">
      <c r="B49" s="233"/>
      <c r="C49" s="306"/>
      <c r="D49" s="307"/>
      <c r="E49" s="307"/>
      <c r="F49" s="299"/>
      <c r="G49" s="314"/>
      <c r="H49" s="315"/>
      <c r="I49" s="315"/>
      <c r="J49" s="315"/>
      <c r="K49" s="315"/>
      <c r="L49" s="315"/>
      <c r="M49" s="315"/>
      <c r="N49" s="315"/>
      <c r="O49" s="316"/>
      <c r="P49" s="315"/>
      <c r="Q49" s="317"/>
      <c r="R49" s="233"/>
      <c r="S49" s="233"/>
    </row>
    <row r="50" spans="2:19" ht="15.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314"/>
      <c r="H50" s="315"/>
      <c r="I50" s="315"/>
      <c r="J50" s="315"/>
      <c r="K50" s="315"/>
      <c r="L50" s="315"/>
      <c r="M50" s="315"/>
      <c r="N50" s="315"/>
      <c r="O50" s="316"/>
      <c r="P50" s="315"/>
      <c r="Q50" s="307"/>
    </row>
    <row r="51" spans="2:19" ht="12.5">
      <c r="B51" s="233"/>
      <c r="C51" s="306"/>
      <c r="D51" s="316"/>
      <c r="E51" s="316"/>
      <c r="F51" s="299"/>
      <c r="G51" s="314"/>
      <c r="H51" s="315"/>
      <c r="I51" s="315"/>
      <c r="J51" s="315"/>
      <c r="K51" s="315"/>
      <c r="L51" s="315"/>
      <c r="M51" s="315"/>
      <c r="N51" s="315"/>
      <c r="O51" s="316"/>
      <c r="P51" s="315"/>
      <c r="Q51" s="307"/>
    </row>
    <row r="52" spans="2:19" ht="13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50473915.011062987</v>
      </c>
      <c r="G52" s="307"/>
      <c r="H52" s="307"/>
      <c r="I52" s="307"/>
      <c r="J52" s="307"/>
      <c r="K52" s="307"/>
      <c r="L52" s="307"/>
      <c r="M52" s="307"/>
      <c r="N52" s="307"/>
      <c r="O52" s="318"/>
      <c r="P52" s="319"/>
      <c r="Q52" s="320"/>
    </row>
    <row r="53" spans="2:19" ht="13">
      <c r="B53" s="233"/>
      <c r="C53" s="254" t="s">
        <v>103</v>
      </c>
      <c r="D53" s="321"/>
      <c r="E53" s="312"/>
      <c r="F53" s="322">
        <f>E26</f>
        <v>37134792.798469074</v>
      </c>
      <c r="G53" s="312"/>
      <c r="H53" s="323"/>
      <c r="I53" s="312"/>
      <c r="J53" s="312"/>
      <c r="K53" s="312"/>
      <c r="L53" s="312"/>
      <c r="M53" s="312"/>
      <c r="N53" s="312"/>
      <c r="O53" s="312"/>
      <c r="P53" s="312"/>
      <c r="Q53" s="312"/>
    </row>
    <row r="54" spans="2:19" ht="12.75" customHeight="1">
      <c r="B54" s="233"/>
      <c r="C54" s="248" t="s">
        <v>26</v>
      </c>
      <c r="D54" s="307"/>
      <c r="E54" s="307"/>
      <c r="F54" s="324">
        <f>E37</f>
        <v>15393015.12673609</v>
      </c>
      <c r="G54" s="233"/>
      <c r="H54" s="242"/>
      <c r="I54" s="233"/>
      <c r="J54" s="243"/>
      <c r="K54" s="233"/>
      <c r="L54" s="233"/>
      <c r="M54" s="233"/>
      <c r="N54" s="233"/>
      <c r="O54" s="233"/>
      <c r="P54" s="233"/>
      <c r="Q54" s="233"/>
    </row>
    <row r="55" spans="2:19" ht="12.5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103001722.93626815</v>
      </c>
      <c r="G55" s="233"/>
      <c r="H55" s="242"/>
      <c r="I55" s="233"/>
      <c r="J55" s="243"/>
      <c r="K55" s="233"/>
      <c r="L55" s="233"/>
      <c r="M55" s="233"/>
      <c r="N55" s="233"/>
      <c r="O55" s="233"/>
      <c r="P55" s="233"/>
      <c r="Q55" s="233"/>
      <c r="R55" s="233"/>
      <c r="S55" s="233"/>
    </row>
    <row r="56" spans="2:19" ht="12.5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233"/>
      <c r="H56" s="242"/>
      <c r="I56" s="233"/>
      <c r="J56" s="243"/>
      <c r="K56" s="233"/>
      <c r="L56" s="233"/>
      <c r="M56" s="233"/>
      <c r="N56" s="233"/>
      <c r="O56" s="233"/>
      <c r="P56" s="233"/>
      <c r="Q56" s="233"/>
      <c r="R56" s="233"/>
      <c r="S56" s="233"/>
    </row>
    <row r="57" spans="2:19" ht="12.5">
      <c r="B57" s="233"/>
      <c r="C57" s="312" t="s">
        <v>27</v>
      </c>
      <c r="D57" s="241"/>
      <c r="E57" s="233"/>
      <c r="F57" s="328">
        <f>+F55+F56</f>
        <v>103001722.93626815</v>
      </c>
      <c r="G57" s="233"/>
      <c r="H57" s="242"/>
      <c r="I57" s="233"/>
      <c r="J57" s="243"/>
      <c r="K57" s="233"/>
      <c r="L57" s="233"/>
      <c r="M57" s="233"/>
      <c r="N57" s="233"/>
      <c r="O57" s="233"/>
      <c r="P57" s="233"/>
      <c r="Q57" s="233"/>
      <c r="R57" s="233"/>
      <c r="S57" s="233"/>
    </row>
    <row r="58" spans="2:19" ht="12.5">
      <c r="B58" s="233"/>
      <c r="C58" s="248" t="str">
        <f>+S121</f>
        <v xml:space="preserve">   Less: Depreciation  (TCOS, ln 84)</v>
      </c>
      <c r="D58" s="241"/>
      <c r="E58" s="233"/>
      <c r="F58" s="329">
        <f>+R121</f>
        <v>18203150.730821695</v>
      </c>
      <c r="G58" s="233"/>
      <c r="H58" s="242"/>
      <c r="I58" s="233"/>
      <c r="J58" s="243"/>
      <c r="K58" s="233"/>
      <c r="L58" s="233"/>
      <c r="M58" s="233"/>
      <c r="N58" s="233"/>
      <c r="O58" s="233"/>
      <c r="P58" s="233"/>
      <c r="Q58" s="233"/>
      <c r="R58" s="233"/>
      <c r="S58" s="233"/>
    </row>
    <row r="59" spans="2:19" ht="12.5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84798572.205446452</v>
      </c>
      <c r="G59" s="233"/>
      <c r="H59" s="242"/>
      <c r="I59" s="233"/>
      <c r="J59" s="243"/>
      <c r="K59" s="233"/>
      <c r="L59" s="233"/>
      <c r="M59" s="233"/>
      <c r="N59" s="233"/>
      <c r="O59" s="233"/>
      <c r="P59" s="233"/>
      <c r="Q59" s="233"/>
      <c r="R59" s="233"/>
      <c r="S59" s="233"/>
    </row>
    <row r="60" spans="2:19" ht="12.5">
      <c r="B60" s="233"/>
      <c r="C60" s="233"/>
      <c r="D60" s="241"/>
      <c r="E60" s="233"/>
      <c r="F60" s="233"/>
      <c r="G60" s="233"/>
      <c r="H60" s="242"/>
      <c r="I60" s="233"/>
      <c r="J60" s="243"/>
      <c r="K60" s="233"/>
      <c r="L60" s="233"/>
      <c r="M60" s="233"/>
      <c r="N60" s="233"/>
      <c r="O60" s="233"/>
      <c r="P60" s="233"/>
      <c r="Q60" s="233"/>
      <c r="R60" s="233"/>
      <c r="S60" s="233"/>
    </row>
    <row r="61" spans="2:19" ht="15.5">
      <c r="B61" s="330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0"/>
      <c r="H61" s="334"/>
      <c r="I61" s="330"/>
      <c r="J61" s="243"/>
      <c r="K61" s="233"/>
      <c r="L61" s="233"/>
      <c r="M61" s="233"/>
      <c r="N61" s="233"/>
      <c r="O61" s="233"/>
      <c r="P61" s="233"/>
      <c r="Q61" s="233"/>
      <c r="R61" s="233"/>
      <c r="S61" s="233"/>
    </row>
    <row r="62" spans="2:19" ht="12.5">
      <c r="B62" s="330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103001722.93626815</v>
      </c>
      <c r="G62" s="330"/>
      <c r="H62" s="334"/>
      <c r="I62" s="330"/>
      <c r="J62" s="243"/>
      <c r="K62" s="233"/>
      <c r="L62" s="233"/>
      <c r="M62" s="233"/>
      <c r="N62" s="233"/>
      <c r="O62" s="233"/>
      <c r="P62" s="233"/>
      <c r="Q62" s="233"/>
      <c r="R62" s="233"/>
      <c r="S62" s="233"/>
    </row>
    <row r="63" spans="2:19" ht="12.5">
      <c r="B63" s="330"/>
      <c r="C63" s="325" t="s">
        <v>28</v>
      </c>
      <c r="D63" s="332"/>
      <c r="E63" s="332"/>
      <c r="F63" s="333"/>
      <c r="G63" s="330"/>
      <c r="H63" s="334"/>
      <c r="I63" s="330"/>
      <c r="J63" s="24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2:19" ht="12.5">
      <c r="B64" s="330"/>
      <c r="C64" s="312" t="str">
        <f>+S122</f>
        <v xml:space="preserve">       Apportionment Factor to Texas (Worksheet K, ln 12)</v>
      </c>
      <c r="D64" s="296"/>
      <c r="E64" s="330"/>
      <c r="F64" s="335">
        <f>+R122</f>
        <v>0</v>
      </c>
      <c r="G64" s="330"/>
      <c r="H64" s="334"/>
      <c r="I64" s="330"/>
      <c r="J64" s="243"/>
      <c r="K64" s="233"/>
      <c r="L64" s="233"/>
      <c r="M64" s="233"/>
      <c r="N64" s="233"/>
      <c r="O64" s="233"/>
      <c r="P64" s="233"/>
      <c r="Q64" s="233"/>
      <c r="R64" s="233"/>
      <c r="S64" s="233"/>
    </row>
    <row r="65" spans="2:19" ht="12.5">
      <c r="B65" s="330"/>
      <c r="C65" s="312" t="s">
        <v>29</v>
      </c>
      <c r="D65" s="296"/>
      <c r="E65" s="330"/>
      <c r="F65" s="333">
        <f>+F62*F64</f>
        <v>0</v>
      </c>
      <c r="G65" s="330"/>
      <c r="H65" s="334"/>
      <c r="I65" s="330"/>
      <c r="J65" s="243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 ht="12.5">
      <c r="B66" s="330"/>
      <c r="C66" s="312" t="s">
        <v>288</v>
      </c>
      <c r="D66" s="296"/>
      <c r="E66" s="330"/>
      <c r="F66" s="336">
        <v>0.22</v>
      </c>
      <c r="G66" s="330"/>
      <c r="H66" s="334"/>
      <c r="I66" s="330"/>
      <c r="J66" s="243"/>
      <c r="K66" s="233"/>
      <c r="L66" s="233"/>
      <c r="M66" s="233"/>
      <c r="N66" s="233"/>
      <c r="O66" s="233"/>
      <c r="P66" s="233"/>
      <c r="Q66" s="233"/>
      <c r="R66" s="233"/>
      <c r="S66" s="233"/>
    </row>
    <row r="67" spans="2:19" ht="12.5">
      <c r="B67" s="330"/>
      <c r="C67" s="312" t="s">
        <v>30</v>
      </c>
      <c r="D67" s="296"/>
      <c r="E67" s="330"/>
      <c r="F67" s="333">
        <f>+F65*F66</f>
        <v>0</v>
      </c>
      <c r="G67" s="330"/>
      <c r="H67" s="334"/>
      <c r="I67" s="330"/>
      <c r="J67" s="243"/>
      <c r="K67" s="233"/>
      <c r="L67" s="233"/>
      <c r="M67" s="233"/>
      <c r="N67" s="233"/>
      <c r="O67" s="233"/>
      <c r="P67" s="233"/>
      <c r="Q67" s="233"/>
      <c r="R67" s="233"/>
      <c r="S67" s="233"/>
    </row>
    <row r="68" spans="2:19" ht="12.5">
      <c r="B68" s="330"/>
      <c r="C68" s="312" t="s">
        <v>31</v>
      </c>
      <c r="D68" s="296"/>
      <c r="E68" s="330"/>
      <c r="F68" s="336">
        <v>0.01</v>
      </c>
      <c r="G68" s="330"/>
      <c r="H68" s="334"/>
      <c r="I68" s="330"/>
      <c r="J68" s="24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19" ht="12.5">
      <c r="B69" s="330"/>
      <c r="C69" s="312" t="s">
        <v>32</v>
      </c>
      <c r="D69" s="296"/>
      <c r="E69" s="330"/>
      <c r="F69" s="333">
        <f>+F67*F68</f>
        <v>0</v>
      </c>
      <c r="G69" s="330"/>
      <c r="H69" s="334"/>
      <c r="I69" s="330"/>
      <c r="J69" s="243"/>
      <c r="K69" s="233"/>
      <c r="L69" s="233"/>
      <c r="M69" s="233"/>
      <c r="N69" s="233"/>
      <c r="O69" s="233"/>
      <c r="P69" s="233"/>
      <c r="Q69" s="233"/>
      <c r="R69" s="233"/>
      <c r="S69" s="233"/>
    </row>
    <row r="70" spans="2:19" ht="12.5">
      <c r="B70" s="330"/>
      <c r="C70" s="312" t="s">
        <v>33</v>
      </c>
      <c r="D70" s="296"/>
      <c r="E70" s="330"/>
      <c r="F70" s="337">
        <f>+ROUND((F69*F66*F64)/(1-F68)*F68,0)</f>
        <v>0</v>
      </c>
      <c r="G70" s="330"/>
      <c r="H70" s="334"/>
      <c r="I70" s="330"/>
      <c r="J70" s="243"/>
      <c r="K70" s="233"/>
      <c r="L70" s="233"/>
      <c r="M70" s="233"/>
      <c r="N70" s="233"/>
      <c r="O70" s="233"/>
      <c r="P70" s="233"/>
      <c r="Q70" s="233"/>
      <c r="R70" s="233"/>
      <c r="S70" s="233"/>
    </row>
    <row r="71" spans="2:19" ht="12.5">
      <c r="B71" s="330"/>
      <c r="C71" s="312" t="s">
        <v>34</v>
      </c>
      <c r="D71" s="296"/>
      <c r="E71" s="330"/>
      <c r="F71" s="333">
        <f>+F69+F70</f>
        <v>0</v>
      </c>
      <c r="G71" s="330"/>
      <c r="H71" s="334"/>
      <c r="I71" s="330"/>
      <c r="J71" s="243"/>
      <c r="K71" s="233"/>
      <c r="L71" s="233"/>
      <c r="M71" s="233"/>
      <c r="N71" s="233"/>
      <c r="O71" s="233"/>
      <c r="P71" s="233"/>
      <c r="Q71" s="233"/>
      <c r="R71" s="233"/>
      <c r="S71" s="233"/>
    </row>
    <row r="72" spans="2:19" ht="12.5">
      <c r="B72" s="233"/>
      <c r="C72" s="233"/>
      <c r="D72" s="241"/>
      <c r="E72" s="233"/>
      <c r="F72" s="233"/>
      <c r="G72" s="233"/>
      <c r="H72" s="242"/>
      <c r="I72" s="233"/>
      <c r="J72" s="243"/>
      <c r="K72" s="233"/>
      <c r="L72" s="233"/>
      <c r="M72" s="233"/>
      <c r="N72" s="233"/>
      <c r="O72" s="233"/>
      <c r="P72" s="233"/>
      <c r="Q72" s="233"/>
      <c r="R72" s="233"/>
      <c r="S72" s="233"/>
    </row>
    <row r="73" spans="2:19" ht="15.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42"/>
      <c r="I73" s="233"/>
      <c r="J73" s="243"/>
      <c r="K73" s="233"/>
      <c r="L73" s="233"/>
      <c r="M73" s="233"/>
      <c r="N73" s="233"/>
      <c r="O73" s="233"/>
      <c r="P73" s="233"/>
      <c r="Q73" s="233"/>
      <c r="R73" s="233"/>
      <c r="S73" s="233"/>
    </row>
    <row r="74" spans="2:19" ht="12.5">
      <c r="B74" s="233"/>
      <c r="C74" s="233"/>
      <c r="D74" s="241"/>
      <c r="E74" s="233"/>
      <c r="F74" s="233"/>
      <c r="G74" s="233"/>
      <c r="H74" s="242"/>
      <c r="I74" s="233"/>
      <c r="J74" s="243"/>
      <c r="K74" s="233"/>
      <c r="L74" s="233"/>
      <c r="M74" s="233"/>
      <c r="N74" s="233"/>
      <c r="O74" s="233"/>
      <c r="P74" s="233"/>
      <c r="Q74" s="233"/>
      <c r="R74" s="233"/>
      <c r="S74" s="233"/>
    </row>
    <row r="75" spans="2:19" ht="12.5">
      <c r="B75" s="233"/>
      <c r="C75" s="248" t="str">
        <f>+S123</f>
        <v xml:space="preserve">   Net Transmission Plant  (TCOS, ln 37)</v>
      </c>
      <c r="D75" s="241"/>
      <c r="E75" s="233"/>
      <c r="F75" s="297">
        <f>+R123</f>
        <v>626580819.62697363</v>
      </c>
      <c r="G75" s="246"/>
      <c r="H75" s="217"/>
      <c r="J75" s="195"/>
      <c r="P75" s="233"/>
      <c r="Q75" s="233"/>
      <c r="R75" s="233"/>
      <c r="S75" s="233"/>
    </row>
    <row r="76" spans="2:19" ht="12.5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338">
        <f>F55</f>
        <v>103001722.93626815</v>
      </c>
      <c r="H76" s="217"/>
      <c r="J76" s="195"/>
      <c r="P76" s="233"/>
      <c r="Q76" s="233"/>
      <c r="R76" s="233"/>
      <c r="S76" s="233"/>
    </row>
    <row r="77" spans="2:19" ht="12.5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0.16438697085810705</v>
      </c>
      <c r="H77" s="217"/>
      <c r="J77" s="195"/>
      <c r="P77" s="233"/>
      <c r="Q77" s="233"/>
      <c r="R77" s="233"/>
      <c r="S77" s="233"/>
    </row>
    <row r="78" spans="2:19" ht="12.5">
      <c r="B78" s="233"/>
      <c r="D78" s="241"/>
      <c r="E78" s="233"/>
      <c r="F78" s="330"/>
      <c r="H78" s="217"/>
      <c r="J78" s="195"/>
      <c r="P78" s="233"/>
      <c r="Q78" s="233"/>
      <c r="R78" s="233"/>
      <c r="S78" s="233"/>
    </row>
    <row r="79" spans="2:19" ht="12.5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F59</f>
        <v>84798572.205446452</v>
      </c>
      <c r="G79" s="246"/>
      <c r="H79" s="217"/>
      <c r="J79" s="195"/>
      <c r="P79" s="233"/>
      <c r="Q79" s="233"/>
      <c r="R79" s="233"/>
      <c r="S79" s="233"/>
    </row>
    <row r="80" spans="2:19" ht="12.5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0.13533541013261485</v>
      </c>
      <c r="G80" s="339"/>
      <c r="H80" s="217"/>
      <c r="J80" s="195"/>
      <c r="P80" s="233"/>
      <c r="Q80" s="233"/>
      <c r="R80" s="233"/>
      <c r="S80" s="233"/>
    </row>
    <row r="81" spans="2:19" ht="12.5">
      <c r="B81" s="233"/>
      <c r="C81" s="248" t="str">
        <f>+S124</f>
        <v xml:space="preserve">   FCR less Depreciation  (Projected TCOS, ln 12)</v>
      </c>
      <c r="D81" s="241"/>
      <c r="E81" s="233"/>
      <c r="F81" s="340">
        <f>+R124</f>
        <v>0.13533541013261485</v>
      </c>
      <c r="H81" s="217"/>
      <c r="J81" s="195"/>
      <c r="P81" s="233"/>
      <c r="Q81" s="233"/>
      <c r="R81" s="233"/>
      <c r="S81" s="233"/>
    </row>
    <row r="82" spans="2:19" ht="12.5">
      <c r="B82" s="233"/>
      <c r="C82" s="634" t="str">
        <f>"   Incremental FCR with "&amp;F13&amp;" Basis Point ROE increase, less Depreciation"</f>
        <v xml:space="preserve">   Incremental FCR with 0 Basis Point ROE increase, less Depreciation</v>
      </c>
      <c r="D82" s="635"/>
      <c r="E82" s="635"/>
      <c r="F82" s="339">
        <f>F80-F81</f>
        <v>0</v>
      </c>
      <c r="H82" s="217"/>
      <c r="J82" s="195"/>
      <c r="P82" s="233"/>
      <c r="Q82" s="233"/>
      <c r="R82" s="233"/>
      <c r="S82" s="233"/>
    </row>
    <row r="83" spans="2:19" ht="12.5">
      <c r="B83" s="233"/>
      <c r="C83" s="635"/>
      <c r="D83" s="635"/>
      <c r="E83" s="635"/>
      <c r="F83" s="339"/>
      <c r="G83" s="233"/>
      <c r="H83" s="242"/>
      <c r="I83" s="233"/>
      <c r="J83" s="243"/>
      <c r="K83" s="233"/>
      <c r="L83" s="233"/>
      <c r="M83" s="233"/>
      <c r="N83" s="233"/>
      <c r="O83" s="233"/>
      <c r="P83" s="233"/>
      <c r="Q83" s="233"/>
      <c r="R83" s="233"/>
      <c r="S83" s="233"/>
    </row>
    <row r="84" spans="2:19" ht="18">
      <c r="B84" s="303" t="s">
        <v>35</v>
      </c>
      <c r="C84" s="304" t="s">
        <v>36</v>
      </c>
      <c r="D84" s="241"/>
      <c r="E84" s="233"/>
      <c r="F84" s="339"/>
      <c r="G84" s="233"/>
      <c r="H84" s="242"/>
      <c r="I84" s="233"/>
      <c r="J84" s="243"/>
      <c r="K84" s="233"/>
      <c r="L84" s="233"/>
      <c r="M84" s="233"/>
      <c r="N84" s="233"/>
      <c r="O84" s="233"/>
      <c r="P84" s="233"/>
      <c r="Q84" s="233"/>
      <c r="R84" s="233"/>
      <c r="S84" s="233"/>
    </row>
    <row r="85" spans="2:19" ht="12.75" customHeight="1">
      <c r="B85" s="303"/>
      <c r="C85" s="304"/>
      <c r="D85" s="241"/>
      <c r="E85" s="233"/>
      <c r="F85" s="339"/>
      <c r="G85" s="233"/>
      <c r="H85" s="242"/>
      <c r="I85" s="233"/>
      <c r="J85" s="243"/>
      <c r="K85" s="233"/>
      <c r="L85" s="233"/>
      <c r="M85" s="233"/>
      <c r="N85" s="233"/>
      <c r="O85" s="233"/>
      <c r="P85" s="233"/>
      <c r="Q85" s="233"/>
      <c r="R85" s="233"/>
      <c r="S85" s="233"/>
    </row>
    <row r="86" spans="2:19" ht="12.75" customHeight="1">
      <c r="B86" s="303"/>
      <c r="C86" s="312" t="s">
        <v>37</v>
      </c>
      <c r="D86" s="241"/>
      <c r="F86" s="334">
        <f>+R125</f>
        <v>856859199.33852696</v>
      </c>
      <c r="G86" s="233" t="s">
        <v>283</v>
      </c>
      <c r="H86" s="242"/>
      <c r="I86" s="233"/>
      <c r="J86" s="243"/>
      <c r="K86" s="233"/>
      <c r="L86" s="233"/>
      <c r="M86" s="233"/>
      <c r="N86" s="233"/>
      <c r="O86" s="233"/>
      <c r="P86" s="233"/>
      <c r="Q86" s="233"/>
      <c r="R86" s="233"/>
      <c r="S86" s="233"/>
    </row>
    <row r="87" spans="2:19" ht="12.75" customHeight="1">
      <c r="B87" s="303"/>
      <c r="C87" s="312" t="s">
        <v>38</v>
      </c>
      <c r="D87" s="241"/>
      <c r="F87" s="341">
        <f>R126</f>
        <v>906509262.35414898</v>
      </c>
      <c r="G87" s="233" t="s">
        <v>283</v>
      </c>
      <c r="H87" s="242"/>
      <c r="I87" s="233"/>
      <c r="J87" s="243"/>
      <c r="K87" s="233"/>
      <c r="L87" s="233"/>
      <c r="M87" s="233"/>
      <c r="N87" s="233"/>
      <c r="O87" s="233"/>
      <c r="P87" s="233"/>
      <c r="Q87" s="233"/>
      <c r="R87" s="233"/>
      <c r="S87" s="233"/>
    </row>
    <row r="88" spans="2:19" ht="12.5">
      <c r="B88" s="233"/>
      <c r="C88" s="312"/>
      <c r="D88" s="241"/>
      <c r="F88" s="242">
        <f>+F87+F86</f>
        <v>1763368461.6926761</v>
      </c>
      <c r="G88" s="297"/>
      <c r="H88" s="242"/>
      <c r="I88" s="233"/>
      <c r="J88" s="243"/>
      <c r="K88" s="233"/>
      <c r="L88" s="233"/>
      <c r="M88" s="233"/>
      <c r="N88" s="233"/>
      <c r="O88" s="233"/>
      <c r="P88" s="233"/>
      <c r="Q88" s="233"/>
      <c r="R88" s="233"/>
      <c r="S88" s="233"/>
    </row>
    <row r="89" spans="2:19" ht="12.5">
      <c r="B89" s="233"/>
      <c r="C89" s="312" t="str">
        <f>S127</f>
        <v xml:space="preserve">Transmission Plant Average Balance for 2017 </v>
      </c>
      <c r="D89" s="296"/>
      <c r="E89" s="155"/>
      <c r="F89" s="323">
        <f>+F88/2</f>
        <v>881684230.84633803</v>
      </c>
      <c r="G89" s="342"/>
      <c r="H89" s="242"/>
      <c r="I89" s="233"/>
      <c r="J89" s="243"/>
      <c r="K89" s="233"/>
      <c r="L89" s="233"/>
      <c r="M89" s="233"/>
      <c r="N89" s="233"/>
      <c r="O89" s="233"/>
      <c r="P89" s="233"/>
      <c r="Q89" s="233"/>
      <c r="R89" s="233"/>
      <c r="S89" s="233"/>
    </row>
    <row r="90" spans="2:19" ht="12.5">
      <c r="B90" s="233"/>
      <c r="C90" s="248" t="str">
        <f>S128</f>
        <v>Annual Depreciation Expense  (Historic TCOS, ln 244)</v>
      </c>
      <c r="D90" s="296"/>
      <c r="E90" s="330"/>
      <c r="F90" s="323">
        <f>R128</f>
        <v>19542222.474165998</v>
      </c>
      <c r="G90" s="233"/>
      <c r="H90" s="242"/>
      <c r="I90" s="233"/>
      <c r="J90" s="243"/>
      <c r="K90" s="233"/>
      <c r="L90" s="233"/>
      <c r="M90" s="233"/>
      <c r="N90" s="233"/>
      <c r="O90" s="233"/>
      <c r="P90" s="233"/>
      <c r="Q90" s="233"/>
      <c r="R90" s="233"/>
      <c r="S90" s="233"/>
    </row>
    <row r="91" spans="2:19" ht="12.5">
      <c r="B91" s="233"/>
      <c r="C91" s="312" t="s">
        <v>39</v>
      </c>
      <c r="D91" s="241"/>
      <c r="E91" s="233"/>
      <c r="F91" s="339">
        <f>IF(F89=0,0,F90/F89)</f>
        <v>2.2164650098604136E-2</v>
      </c>
      <c r="G91" s="233"/>
      <c r="H91" s="343"/>
      <c r="I91" s="233"/>
      <c r="J91" s="243"/>
      <c r="K91" s="233"/>
      <c r="L91" s="233"/>
      <c r="M91" s="233"/>
      <c r="N91" s="233"/>
      <c r="O91" s="233"/>
      <c r="P91" s="233"/>
      <c r="Q91" s="233"/>
      <c r="R91" s="233"/>
      <c r="S91" s="233"/>
    </row>
    <row r="92" spans="2:19" ht="12.5">
      <c r="B92" s="233"/>
      <c r="C92" s="312" t="s">
        <v>40</v>
      </c>
      <c r="D92" s="241"/>
      <c r="E92" s="233"/>
      <c r="F92" s="344">
        <f>IF(F91=0,0,1/F91)</f>
        <v>45.116886373179291</v>
      </c>
      <c r="H92" s="242"/>
      <c r="I92" s="233"/>
      <c r="J92" s="243"/>
      <c r="K92" s="233"/>
      <c r="L92" s="233"/>
      <c r="M92" s="233"/>
      <c r="N92" s="233"/>
      <c r="O92" s="233"/>
      <c r="P92" s="233"/>
      <c r="Q92" s="233"/>
      <c r="R92" s="233"/>
      <c r="S92" s="233"/>
    </row>
    <row r="93" spans="2:19" ht="12.5">
      <c r="B93" s="233"/>
      <c r="C93" s="312" t="s">
        <v>41</v>
      </c>
      <c r="D93" s="241"/>
      <c r="E93" s="233"/>
      <c r="F93" s="345">
        <f>ROUND(F92,0)</f>
        <v>45</v>
      </c>
      <c r="G93" s="233"/>
      <c r="H93" s="242"/>
      <c r="I93" s="233"/>
      <c r="J93" s="243"/>
      <c r="K93" s="233"/>
      <c r="L93" s="233"/>
      <c r="M93" s="233"/>
      <c r="N93" s="233"/>
      <c r="O93" s="233"/>
      <c r="P93" s="233"/>
      <c r="Q93" s="233"/>
      <c r="R93" s="233"/>
      <c r="S93" s="233"/>
    </row>
    <row r="94" spans="2:19" ht="12.5">
      <c r="C94" s="346"/>
      <c r="D94" s="347"/>
      <c r="E94" s="347"/>
      <c r="F94" s="347"/>
      <c r="G94" s="348"/>
      <c r="H94" s="348"/>
      <c r="I94" s="349"/>
      <c r="J94" s="349"/>
      <c r="K94" s="349"/>
      <c r="L94" s="349"/>
      <c r="M94" s="349"/>
      <c r="N94" s="349"/>
      <c r="O94" s="243"/>
      <c r="P94" s="243"/>
      <c r="Q94" s="233"/>
      <c r="R94" s="233"/>
      <c r="S94" s="233"/>
    </row>
    <row r="95" spans="2:19" ht="12.5">
      <c r="C95" s="346"/>
      <c r="D95" s="347"/>
      <c r="E95" s="347"/>
      <c r="F95" s="347"/>
      <c r="G95" s="348"/>
      <c r="H95" s="348"/>
      <c r="I95" s="349"/>
      <c r="J95" s="349"/>
      <c r="K95" s="349"/>
      <c r="L95" s="349"/>
      <c r="M95" s="349"/>
      <c r="N95" s="349"/>
      <c r="O95" s="243"/>
      <c r="P95" s="243"/>
      <c r="Q95" s="233"/>
      <c r="R95" s="233"/>
      <c r="S95" s="233"/>
    </row>
    <row r="96" spans="2:19" ht="12.5">
      <c r="J96" s="195"/>
      <c r="P96" s="233"/>
      <c r="Q96" s="233"/>
      <c r="R96" s="233"/>
      <c r="S96" s="233"/>
    </row>
    <row r="97" spans="3:19" ht="13">
      <c r="J97" s="195"/>
      <c r="P97" s="233"/>
      <c r="Q97" s="233"/>
      <c r="R97" s="350" t="s">
        <v>126</v>
      </c>
      <c r="S97" s="148" t="s">
        <v>127</v>
      </c>
    </row>
    <row r="98" spans="3:19" ht="12.5">
      <c r="J98" s="195"/>
      <c r="P98" s="233"/>
      <c r="Q98" s="233"/>
    </row>
    <row r="99" spans="3:19" ht="13">
      <c r="C99" s="240" t="s">
        <v>122</v>
      </c>
      <c r="J99" s="195"/>
      <c r="L99" s="240" t="s">
        <v>121</v>
      </c>
      <c r="P99" s="233"/>
      <c r="Q99" s="233"/>
    </row>
    <row r="100" spans="3:19" ht="12.5">
      <c r="J100" s="195"/>
      <c r="P100" s="233"/>
      <c r="Q100" s="233"/>
      <c r="S100" s="234" t="s">
        <v>119</v>
      </c>
    </row>
    <row r="101" spans="3:19" ht="13">
      <c r="J101" s="195"/>
      <c r="P101" s="233"/>
      <c r="Q101" s="233"/>
      <c r="R101" s="350" t="s">
        <v>115</v>
      </c>
      <c r="S101" s="204" t="s">
        <v>120</v>
      </c>
    </row>
    <row r="102" spans="3:19" ht="13.5" thickBot="1">
      <c r="J102" s="195"/>
      <c r="P102" s="233"/>
      <c r="Q102" s="233"/>
      <c r="R102" s="351" t="s">
        <v>142</v>
      </c>
    </row>
    <row r="103" spans="3:19" ht="12.5">
      <c r="J103" s="195"/>
      <c r="P103" s="233"/>
      <c r="Q103" s="233"/>
      <c r="R103" s="352" t="s">
        <v>289</v>
      </c>
      <c r="S103" s="353" t="s">
        <v>143</v>
      </c>
    </row>
    <row r="104" spans="3:19" ht="12.5">
      <c r="J104" s="195"/>
      <c r="P104" s="233"/>
      <c r="Q104" s="233"/>
      <c r="R104" s="354">
        <v>2019</v>
      </c>
      <c r="S104" s="355" t="s">
        <v>13</v>
      </c>
    </row>
    <row r="105" spans="3:19" ht="12.5">
      <c r="J105" s="195"/>
      <c r="P105" s="233"/>
      <c r="Q105" s="233"/>
      <c r="R105" s="356">
        <v>0.112</v>
      </c>
      <c r="S105" s="355" t="s">
        <v>313</v>
      </c>
    </row>
    <row r="106" spans="3:19" ht="12.5">
      <c r="J106" s="195"/>
      <c r="P106" s="233"/>
      <c r="Q106" s="233"/>
      <c r="R106" s="357">
        <v>0</v>
      </c>
      <c r="S106" s="355" t="s">
        <v>1</v>
      </c>
    </row>
    <row r="107" spans="3:19" ht="12.5">
      <c r="J107" s="195"/>
      <c r="P107" s="233"/>
      <c r="Q107" s="233"/>
      <c r="R107" s="358">
        <v>0.52757845882694709</v>
      </c>
      <c r="S107" s="359" t="s">
        <v>109</v>
      </c>
    </row>
    <row r="108" spans="3:19" ht="12.5">
      <c r="J108" s="195"/>
      <c r="P108" s="233"/>
      <c r="Q108" s="233"/>
      <c r="R108" s="358">
        <v>4.7207513015079E-2</v>
      </c>
      <c r="S108" s="359" t="s">
        <v>110</v>
      </c>
    </row>
    <row r="109" spans="3:19" ht="12.5">
      <c r="J109" s="195"/>
      <c r="P109" s="233"/>
      <c r="Q109" s="233"/>
      <c r="R109" s="358">
        <v>0</v>
      </c>
      <c r="S109" s="359" t="s">
        <v>111</v>
      </c>
    </row>
    <row r="110" spans="3:19" ht="12.5">
      <c r="J110" s="195"/>
      <c r="P110" s="233"/>
      <c r="Q110" s="233"/>
      <c r="R110" s="358">
        <v>0</v>
      </c>
      <c r="S110" s="359" t="s">
        <v>112</v>
      </c>
    </row>
    <row r="111" spans="3:19" ht="12.5">
      <c r="J111" s="195"/>
      <c r="P111" s="233"/>
      <c r="Q111" s="233"/>
      <c r="R111" s="358">
        <v>0.47242154117305285</v>
      </c>
      <c r="S111" s="360" t="s">
        <v>113</v>
      </c>
    </row>
    <row r="112" spans="3:19" ht="12.5">
      <c r="J112" s="195"/>
      <c r="P112" s="233"/>
      <c r="Q112" s="233"/>
      <c r="R112" s="361">
        <v>477207425.97582793</v>
      </c>
      <c r="S112" s="362" t="s">
        <v>333</v>
      </c>
    </row>
    <row r="113" spans="3:19" ht="12.5">
      <c r="J113" s="195"/>
      <c r="P113" s="233"/>
      <c r="Q113" s="233"/>
      <c r="R113" s="363">
        <v>0.38561999999999996</v>
      </c>
      <c r="S113" s="364" t="s">
        <v>334</v>
      </c>
    </row>
    <row r="114" spans="3:19" ht="12.5">
      <c r="J114" s="195"/>
      <c r="P114" s="233"/>
      <c r="Q114" s="233"/>
      <c r="R114" s="361">
        <v>-456068.24706954265</v>
      </c>
      <c r="S114" s="364" t="s">
        <v>335</v>
      </c>
    </row>
    <row r="115" spans="3:19" ht="12.5">
      <c r="J115" s="195"/>
      <c r="P115" s="233"/>
      <c r="Q115" s="233"/>
      <c r="R115" s="361">
        <v>-156255.08642859466</v>
      </c>
      <c r="S115" s="364" t="s">
        <v>336</v>
      </c>
    </row>
    <row r="116" spans="3:19" ht="12.5">
      <c r="J116" s="195"/>
      <c r="P116" s="233"/>
      <c r="Q116" s="233"/>
      <c r="R116" s="361">
        <v>157231.68071877339</v>
      </c>
      <c r="S116" s="364" t="s">
        <v>337</v>
      </c>
    </row>
    <row r="117" spans="3:19" ht="12.5">
      <c r="C117" s="233"/>
      <c r="D117" s="241"/>
      <c r="E117" s="233"/>
      <c r="F117" s="233"/>
      <c r="G117" s="233"/>
      <c r="H117" s="242"/>
      <c r="I117" s="233"/>
      <c r="J117" s="243"/>
      <c r="K117" s="233"/>
      <c r="L117" s="233"/>
      <c r="M117" s="233"/>
      <c r="N117" s="233"/>
      <c r="O117" s="233"/>
      <c r="P117" s="233"/>
      <c r="Q117" s="233"/>
      <c r="R117" s="361">
        <v>103001722.93626815</v>
      </c>
      <c r="S117" s="364" t="s">
        <v>338</v>
      </c>
    </row>
    <row r="118" spans="3:19" ht="12.5">
      <c r="C118" s="233"/>
      <c r="D118" s="241"/>
      <c r="E118" s="233"/>
      <c r="F118" s="233"/>
      <c r="G118" s="233"/>
      <c r="H118" s="242"/>
      <c r="I118" s="233"/>
      <c r="J118" s="243"/>
      <c r="K118" s="233"/>
      <c r="L118" s="233"/>
      <c r="M118" s="233"/>
      <c r="N118" s="233"/>
      <c r="O118" s="233"/>
      <c r="P118" s="233"/>
      <c r="Q118" s="233"/>
      <c r="R118" s="361">
        <v>37134792.798469074</v>
      </c>
      <c r="S118" s="364" t="s">
        <v>339</v>
      </c>
    </row>
    <row r="119" spans="3:19" ht="12.5">
      <c r="C119" s="233"/>
      <c r="D119" s="241"/>
      <c r="E119" s="233"/>
      <c r="F119" s="233"/>
      <c r="G119" s="233"/>
      <c r="H119" s="242"/>
      <c r="I119" s="233"/>
      <c r="J119" s="243"/>
      <c r="K119" s="233"/>
      <c r="L119" s="233"/>
      <c r="M119" s="233"/>
      <c r="N119" s="233"/>
      <c r="O119" s="233"/>
      <c r="P119" s="233"/>
      <c r="Q119" s="233"/>
      <c r="R119" s="361">
        <v>15393015.12673609</v>
      </c>
      <c r="S119" s="364" t="s">
        <v>340</v>
      </c>
    </row>
    <row r="120" spans="3:19" ht="12.5">
      <c r="C120" s="233"/>
      <c r="D120" s="241"/>
      <c r="E120" s="233"/>
      <c r="F120" s="233"/>
      <c r="G120" s="233"/>
      <c r="H120" s="242"/>
      <c r="I120" s="233"/>
      <c r="J120" s="243"/>
      <c r="K120" s="233"/>
      <c r="L120" s="233"/>
      <c r="M120" s="233"/>
      <c r="N120" s="233"/>
      <c r="O120" s="233"/>
      <c r="P120" s="233"/>
      <c r="Q120" s="233"/>
      <c r="R120" s="361">
        <v>0</v>
      </c>
      <c r="S120" s="364" t="s">
        <v>341</v>
      </c>
    </row>
    <row r="121" spans="3:19" ht="12.5">
      <c r="C121" s="233"/>
      <c r="D121" s="241"/>
      <c r="E121" s="233"/>
      <c r="F121" s="233"/>
      <c r="G121" s="233"/>
      <c r="H121" s="242"/>
      <c r="I121" s="233"/>
      <c r="J121" s="243"/>
      <c r="K121" s="233"/>
      <c r="L121" s="233"/>
      <c r="M121" s="233"/>
      <c r="N121" s="233"/>
      <c r="O121" s="233"/>
      <c r="P121" s="233"/>
      <c r="Q121" s="233"/>
      <c r="R121" s="361">
        <v>18203150.730821695</v>
      </c>
      <c r="S121" s="364" t="s">
        <v>342</v>
      </c>
    </row>
    <row r="122" spans="3:19" ht="12.5">
      <c r="C122" s="233"/>
      <c r="D122" s="241"/>
      <c r="E122" s="233"/>
      <c r="F122" s="233"/>
      <c r="G122" s="233"/>
      <c r="H122" s="242"/>
      <c r="I122" s="233"/>
      <c r="J122" s="243"/>
      <c r="K122" s="233"/>
      <c r="L122" s="233"/>
      <c r="M122" s="233"/>
      <c r="N122" s="233"/>
      <c r="O122" s="233"/>
      <c r="P122" s="233"/>
      <c r="Q122" s="233"/>
      <c r="R122" s="363">
        <v>0</v>
      </c>
      <c r="S122" s="364" t="s">
        <v>118</v>
      </c>
    </row>
    <row r="123" spans="3:19" ht="12.5">
      <c r="C123" s="233"/>
      <c r="D123" s="241"/>
      <c r="E123" s="233"/>
      <c r="F123" s="233"/>
      <c r="G123" s="233"/>
      <c r="H123" s="242"/>
      <c r="I123" s="233"/>
      <c r="J123" s="243"/>
      <c r="K123" s="233"/>
      <c r="L123" s="233"/>
      <c r="M123" s="233"/>
      <c r="N123" s="233"/>
      <c r="O123" s="233"/>
      <c r="P123" s="233"/>
      <c r="Q123" s="233"/>
      <c r="R123" s="361">
        <v>626580819.62697363</v>
      </c>
      <c r="S123" s="364" t="s">
        <v>343</v>
      </c>
    </row>
    <row r="124" spans="3:19" ht="12.5">
      <c r="C124" s="233"/>
      <c r="D124" s="241"/>
      <c r="E124" s="233"/>
      <c r="F124" s="233"/>
      <c r="G124" s="233"/>
      <c r="H124" s="242"/>
      <c r="I124" s="233"/>
      <c r="J124" s="243"/>
      <c r="K124" s="233"/>
      <c r="L124" s="233"/>
      <c r="M124" s="233"/>
      <c r="N124" s="233"/>
      <c r="O124" s="233"/>
      <c r="P124" s="233"/>
      <c r="Q124" s="233"/>
      <c r="R124" s="365">
        <v>0.13533541013261485</v>
      </c>
      <c r="S124" s="366" t="s">
        <v>290</v>
      </c>
    </row>
    <row r="125" spans="3:19" ht="12.5">
      <c r="C125" s="233"/>
      <c r="D125" s="241"/>
      <c r="E125" s="233"/>
      <c r="F125" s="233"/>
      <c r="G125" s="233"/>
      <c r="H125" s="242"/>
      <c r="I125" s="233"/>
      <c r="J125" s="243"/>
      <c r="K125" s="233"/>
      <c r="L125" s="233"/>
      <c r="M125" s="233"/>
      <c r="N125" s="233"/>
      <c r="O125" s="233"/>
      <c r="P125" s="233"/>
      <c r="Q125" s="233"/>
      <c r="R125" s="367">
        <v>856859199.33852696</v>
      </c>
      <c r="S125" s="359" t="s">
        <v>37</v>
      </c>
    </row>
    <row r="126" spans="3:19" ht="12.5">
      <c r="C126" s="233"/>
      <c r="D126" s="241"/>
      <c r="E126" s="233"/>
      <c r="F126" s="233"/>
      <c r="G126" s="233"/>
      <c r="H126" s="242"/>
      <c r="I126" s="233"/>
      <c r="J126" s="243"/>
      <c r="K126" s="233"/>
      <c r="L126" s="233"/>
      <c r="M126" s="233"/>
      <c r="N126" s="233"/>
      <c r="O126" s="233"/>
      <c r="P126" s="233"/>
      <c r="Q126" s="233"/>
      <c r="R126" s="367">
        <v>906509262.35414898</v>
      </c>
      <c r="S126" s="360" t="s">
        <v>38</v>
      </c>
    </row>
    <row r="127" spans="3:19" ht="12.5">
      <c r="C127" s="233"/>
      <c r="D127" s="241"/>
      <c r="E127" s="233"/>
      <c r="F127" s="233"/>
      <c r="G127" s="233"/>
      <c r="H127" s="242"/>
      <c r="I127" s="233"/>
      <c r="J127" s="243"/>
      <c r="K127" s="233"/>
      <c r="L127" s="233"/>
      <c r="M127" s="233"/>
      <c r="N127" s="233"/>
      <c r="O127" s="233"/>
      <c r="P127" s="233"/>
      <c r="Q127" s="233"/>
      <c r="R127" s="367">
        <v>881684230.84633803</v>
      </c>
      <c r="S127" s="368" t="s">
        <v>312</v>
      </c>
    </row>
    <row r="128" spans="3:19" ht="13" thickBot="1">
      <c r="C128" s="233"/>
      <c r="D128" s="241"/>
      <c r="E128" s="233"/>
      <c r="F128" s="233"/>
      <c r="G128" s="233"/>
      <c r="H128" s="242"/>
      <c r="I128" s="233"/>
      <c r="J128" s="243"/>
      <c r="K128" s="233"/>
      <c r="L128" s="233"/>
      <c r="M128" s="233"/>
      <c r="N128" s="233"/>
      <c r="O128" s="233"/>
      <c r="P128" s="233"/>
      <c r="Q128" s="233"/>
      <c r="R128" s="369">
        <v>19542222.474165998</v>
      </c>
      <c r="S128" s="370" t="s">
        <v>314</v>
      </c>
    </row>
    <row r="129" spans="3:19" ht="12.5">
      <c r="C129" s="233"/>
      <c r="D129" s="241"/>
      <c r="E129" s="233"/>
      <c r="F129" s="233"/>
      <c r="G129" s="233"/>
      <c r="H129" s="242"/>
      <c r="I129" s="233"/>
      <c r="J129" s="243"/>
      <c r="K129" s="233"/>
      <c r="L129" s="233"/>
      <c r="M129" s="233"/>
      <c r="N129" s="233"/>
      <c r="O129" s="233"/>
      <c r="P129" s="233"/>
      <c r="Q129" s="233"/>
      <c r="R129" s="233"/>
      <c r="S129" s="233"/>
    </row>
    <row r="130" spans="3:19" ht="13">
      <c r="C130" s="233"/>
      <c r="D130" s="241"/>
      <c r="E130" s="233"/>
      <c r="F130" s="233"/>
      <c r="G130" s="233"/>
      <c r="H130" s="242"/>
      <c r="I130" s="233"/>
      <c r="J130" s="243"/>
      <c r="K130" s="233"/>
      <c r="L130" s="233"/>
      <c r="M130" s="233"/>
      <c r="N130" s="233"/>
      <c r="O130" s="233"/>
      <c r="P130" s="233"/>
      <c r="Q130" s="233"/>
      <c r="R130" s="350" t="s">
        <v>116</v>
      </c>
      <c r="S130" s="233" t="s">
        <v>130</v>
      </c>
    </row>
    <row r="131" spans="3:19" ht="13.5" thickBot="1">
      <c r="C131" s="312"/>
      <c r="D131" s="321"/>
      <c r="E131" s="312"/>
      <c r="F131" s="312"/>
      <c r="G131" s="312"/>
      <c r="H131" s="323"/>
      <c r="I131" s="233"/>
      <c r="J131" s="243"/>
      <c r="K131" s="233"/>
      <c r="L131" s="233"/>
      <c r="M131" s="233"/>
      <c r="N131" s="233"/>
      <c r="O131" s="233"/>
      <c r="P131" s="233"/>
      <c r="Q131" s="233"/>
      <c r="R131" s="351" t="s">
        <v>114</v>
      </c>
      <c r="S131" s="233"/>
    </row>
    <row r="132" spans="3:19" ht="12.5">
      <c r="C132" s="312"/>
      <c r="D132" s="321"/>
      <c r="E132" s="312"/>
      <c r="F132" s="312"/>
      <c r="G132" s="312"/>
      <c r="H132" s="323"/>
      <c r="I132" s="233"/>
      <c r="J132" s="243"/>
      <c r="K132" s="233"/>
      <c r="L132" s="233"/>
      <c r="M132" s="233"/>
      <c r="N132" s="233"/>
      <c r="O132" s="233"/>
      <c r="P132" s="233"/>
      <c r="Q132" s="233"/>
      <c r="R132" s="371">
        <f>+M19</f>
        <v>7284760.4319926891</v>
      </c>
      <c r="S132" s="233" t="str">
        <f>+K19&amp;" "&amp;M17</f>
        <v>PROJECTED YEAR Rev Require</v>
      </c>
    </row>
    <row r="133" spans="3:19" ht="12.5">
      <c r="C133" s="312"/>
      <c r="D133" s="321"/>
      <c r="E133" s="312"/>
      <c r="F133" s="312"/>
      <c r="G133" s="312"/>
      <c r="H133" s="323"/>
      <c r="I133" s="233"/>
      <c r="J133" s="243"/>
      <c r="K133" s="233"/>
      <c r="L133" s="233"/>
      <c r="M133" s="233"/>
      <c r="N133" s="233"/>
      <c r="O133" s="233"/>
      <c r="P133" s="233"/>
      <c r="Q133" s="233"/>
      <c r="R133" s="372">
        <f>+N19</f>
        <v>7284760.4319926891</v>
      </c>
      <c r="S133" s="233" t="str">
        <f>K19&amp;" "&amp;N17</f>
        <v>PROJECTED YEAR  W Incentives</v>
      </c>
    </row>
    <row r="134" spans="3:19" ht="13" thickBot="1">
      <c r="C134" s="312"/>
      <c r="D134" s="321"/>
      <c r="E134" s="312"/>
      <c r="F134" s="312"/>
      <c r="G134" s="312"/>
      <c r="H134" s="323"/>
      <c r="I134" s="233"/>
      <c r="J134" s="243"/>
      <c r="K134" s="233"/>
      <c r="L134" s="233"/>
      <c r="M134" s="233"/>
      <c r="N134" s="233"/>
      <c r="O134" s="233"/>
      <c r="P134" s="233"/>
      <c r="Q134" s="233"/>
      <c r="R134" s="373">
        <f>+O19</f>
        <v>0</v>
      </c>
      <c r="S134" s="233" t="str">
        <f>K19&amp;" "&amp;O17</f>
        <v>PROJECTED YEAR Incentive Amounts</v>
      </c>
    </row>
    <row r="135" spans="3:19" ht="12.5">
      <c r="C135" s="312"/>
      <c r="D135" s="321"/>
      <c r="E135" s="312"/>
      <c r="F135" s="312"/>
      <c r="G135" s="312"/>
      <c r="H135" s="323"/>
      <c r="I135" s="233"/>
      <c r="J135" s="243"/>
      <c r="K135" s="233"/>
      <c r="L135" s="233"/>
      <c r="M135" s="233"/>
      <c r="N135" s="233"/>
      <c r="O135" s="233"/>
      <c r="P135" s="233"/>
      <c r="Q135" s="233"/>
      <c r="R135" s="233"/>
      <c r="S135" s="233"/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tabSelected="1" view="pageBreakPreview" topLeftCell="D1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17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216741.56005757477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216741.56005757477</v>
      </c>
      <c r="O6" s="233"/>
      <c r="P6" s="233"/>
    </row>
    <row r="7" spans="1:16" ht="13.5" thickBot="1">
      <c r="C7" s="432" t="s">
        <v>46</v>
      </c>
      <c r="D7" s="600" t="s">
        <v>265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291</v>
      </c>
      <c r="E9" s="578" t="s">
        <v>292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1692023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2015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37600.511111111111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2015</v>
      </c>
      <c r="D17" s="585">
        <v>1500000</v>
      </c>
      <c r="E17" s="609">
        <v>0</v>
      </c>
      <c r="F17" s="585">
        <v>1500000</v>
      </c>
      <c r="G17" s="609">
        <v>206807.48514960654</v>
      </c>
      <c r="H17" s="588">
        <v>206807.48514960654</v>
      </c>
      <c r="I17" s="476">
        <v>0</v>
      </c>
      <c r="J17" s="476"/>
      <c r="K17" s="477">
        <f>G17</f>
        <v>206807.48514960654</v>
      </c>
      <c r="L17" s="604">
        <f>IF(K17&lt;&gt;0,+G17-K17,0)</f>
        <v>0</v>
      </c>
      <c r="M17" s="477">
        <f>H17</f>
        <v>206807.48514960654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2016</v>
      </c>
      <c r="D18" s="585">
        <v>1777912</v>
      </c>
      <c r="E18" s="586">
        <v>34190.615384615383</v>
      </c>
      <c r="F18" s="585">
        <v>1743721.3846153845</v>
      </c>
      <c r="G18" s="586">
        <v>262896.61538461538</v>
      </c>
      <c r="H18" s="588">
        <v>262896.61538461538</v>
      </c>
      <c r="I18" s="476">
        <f>H18-G18</f>
        <v>0</v>
      </c>
      <c r="J18" s="476"/>
      <c r="K18" s="477">
        <f>G18</f>
        <v>262896.61538461538</v>
      </c>
      <c r="L18" s="604">
        <f>IF(K18&lt;&gt;0,+G18-K18,0)</f>
        <v>0</v>
      </c>
      <c r="M18" s="477">
        <f>H18</f>
        <v>262896.61538461538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2017</v>
      </c>
      <c r="D19" s="585">
        <v>1657832.3846153845</v>
      </c>
      <c r="E19" s="586">
        <v>36783.108695652176</v>
      </c>
      <c r="F19" s="585">
        <v>1621049.2759197324</v>
      </c>
      <c r="G19" s="586">
        <v>243079.10869565216</v>
      </c>
      <c r="H19" s="588">
        <v>243079.10869565216</v>
      </c>
      <c r="I19" s="476">
        <f t="shared" ref="I19:I72" si="0">H19-G19</f>
        <v>0</v>
      </c>
      <c r="J19" s="476"/>
      <c r="K19" s="477">
        <f>G19</f>
        <v>243079.10869565216</v>
      </c>
      <c r="L19" s="604">
        <f>IF(K19&lt;&gt;0,+G19-K19,0)</f>
        <v>0</v>
      </c>
      <c r="M19" s="477">
        <f>H19</f>
        <v>243079.10869565216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1">IF(D20=F19,"","IU")</f>
        <v/>
      </c>
      <c r="C20" s="473">
        <f>IF(D11="","-",+C19+1)</f>
        <v>2018</v>
      </c>
      <c r="D20" s="585">
        <v>1621049.2759197324</v>
      </c>
      <c r="E20" s="586">
        <v>37600.511111111111</v>
      </c>
      <c r="F20" s="585">
        <v>1583448.7648086213</v>
      </c>
      <c r="G20" s="586">
        <v>229484.15653998824</v>
      </c>
      <c r="H20" s="588">
        <v>229484.15653998824</v>
      </c>
      <c r="I20" s="476">
        <f t="shared" si="0"/>
        <v>0</v>
      </c>
      <c r="J20" s="476"/>
      <c r="K20" s="477">
        <f>G20</f>
        <v>229484.15653998824</v>
      </c>
      <c r="L20" s="604">
        <f>IF(K20&lt;&gt;0,+G20-K20,0)</f>
        <v>0</v>
      </c>
      <c r="M20" s="477">
        <f>H20</f>
        <v>229484.15653998824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1"/>
        <v/>
      </c>
      <c r="C21" s="473">
        <f>IF(D11="","-",+C20+1)</f>
        <v>2019</v>
      </c>
      <c r="D21" s="585">
        <v>1583448.7648086213</v>
      </c>
      <c r="E21" s="586">
        <v>42300.574999999997</v>
      </c>
      <c r="F21" s="585">
        <v>1541148.1898086213</v>
      </c>
      <c r="G21" s="586">
        <v>216741.56005757477</v>
      </c>
      <c r="H21" s="588">
        <v>216741.56005757477</v>
      </c>
      <c r="I21" s="476">
        <f t="shared" si="0"/>
        <v>0</v>
      </c>
      <c r="J21" s="476"/>
      <c r="K21" s="477">
        <f>G21</f>
        <v>216741.56005757477</v>
      </c>
      <c r="L21" s="604">
        <f>IF(K21&lt;&gt;0,+G21-K21,0)</f>
        <v>0</v>
      </c>
      <c r="M21" s="477">
        <f>H21</f>
        <v>216741.56005757477</v>
      </c>
      <c r="N21" s="479">
        <f t="shared" ref="N21:N72" si="2">IF(M21&lt;&gt;0,+H21-M21,0)</f>
        <v>0</v>
      </c>
      <c r="O21" s="479">
        <f t="shared" ref="O21:O72" si="3">+N21-L21</f>
        <v>0</v>
      </c>
      <c r="P21" s="243"/>
    </row>
    <row r="22" spans="2:16" ht="12.5">
      <c r="B22" s="160" t="str">
        <f t="shared" si="1"/>
        <v/>
      </c>
      <c r="C22" s="473">
        <f>IF(D11="","-",+C21+1)</f>
        <v>2020</v>
      </c>
      <c r="D22" s="486">
        <f>IF(F21+SUM(E$17:E21)=D$10,F21,D$10-SUM(E$17:E21))</f>
        <v>1541148.1898086213</v>
      </c>
      <c r="E22" s="485">
        <f t="shared" ref="E22:E72" si="4">IF(+$I$14&lt;F21,$I$14,D22)</f>
        <v>37600.511111111111</v>
      </c>
      <c r="F22" s="486">
        <f t="shared" ref="F22:F72" si="5">+D22-E22</f>
        <v>1503547.6786975102</v>
      </c>
      <c r="G22" s="487">
        <f t="shared" ref="G22:G72" si="6">ROUND(I$12*F22,0)+E22</f>
        <v>241083.51111111112</v>
      </c>
      <c r="H22" s="456">
        <f t="shared" ref="H22:H72" si="7">ROUND(I$13*F22,0)+E22</f>
        <v>241083.51111111112</v>
      </c>
      <c r="I22" s="476">
        <f t="shared" si="0"/>
        <v>0</v>
      </c>
      <c r="J22" s="476"/>
      <c r="K22" s="488"/>
      <c r="L22" s="479">
        <f t="shared" ref="L22:L72" si="8">IF(K22&lt;&gt;0,+G22-K22,0)</f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1"/>
        <v/>
      </c>
      <c r="C23" s="473">
        <f>IF(D11="","-",+C22+1)</f>
        <v>2021</v>
      </c>
      <c r="D23" s="486">
        <f>IF(F22+SUM(E$17:E22)=D$10,F22,D$10-SUM(E$17:E22))</f>
        <v>1503547.6786975102</v>
      </c>
      <c r="E23" s="485">
        <f t="shared" si="4"/>
        <v>37600.511111111111</v>
      </c>
      <c r="F23" s="486">
        <f t="shared" si="5"/>
        <v>1465947.167586399</v>
      </c>
      <c r="G23" s="487">
        <f t="shared" si="6"/>
        <v>235995.51111111112</v>
      </c>
      <c r="H23" s="456">
        <f t="shared" si="7"/>
        <v>235995.51111111112</v>
      </c>
      <c r="I23" s="476">
        <f t="shared" si="0"/>
        <v>0</v>
      </c>
      <c r="J23" s="476"/>
      <c r="K23" s="488"/>
      <c r="L23" s="479">
        <f t="shared" si="8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1"/>
        <v/>
      </c>
      <c r="C24" s="473">
        <f>IF(D11="","-",+C23+1)</f>
        <v>2022</v>
      </c>
      <c r="D24" s="486">
        <f>IF(F23+SUM(E$17:E23)=D$10,F23,D$10-SUM(E$17:E23))</f>
        <v>1465947.167586399</v>
      </c>
      <c r="E24" s="485">
        <f t="shared" si="4"/>
        <v>37600.511111111111</v>
      </c>
      <c r="F24" s="486">
        <f t="shared" si="5"/>
        <v>1428346.6564752879</v>
      </c>
      <c r="G24" s="487">
        <f t="shared" si="6"/>
        <v>230906.51111111112</v>
      </c>
      <c r="H24" s="456">
        <f t="shared" si="7"/>
        <v>230906.51111111112</v>
      </c>
      <c r="I24" s="476">
        <f t="shared" si="0"/>
        <v>0</v>
      </c>
      <c r="J24" s="476"/>
      <c r="K24" s="488"/>
      <c r="L24" s="479">
        <f t="shared" si="8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1"/>
        <v/>
      </c>
      <c r="C25" s="473">
        <f>IF(D11="","-",+C24+1)</f>
        <v>2023</v>
      </c>
      <c r="D25" s="486">
        <f>IF(F24+SUM(E$17:E24)=D$10,F24,D$10-SUM(E$17:E24))</f>
        <v>1428346.6564752879</v>
      </c>
      <c r="E25" s="485">
        <f t="shared" si="4"/>
        <v>37600.511111111111</v>
      </c>
      <c r="F25" s="486">
        <f t="shared" si="5"/>
        <v>1390746.1453641767</v>
      </c>
      <c r="G25" s="487">
        <f t="shared" si="6"/>
        <v>225817.51111111112</v>
      </c>
      <c r="H25" s="456">
        <f t="shared" si="7"/>
        <v>225817.51111111112</v>
      </c>
      <c r="I25" s="476">
        <f t="shared" si="0"/>
        <v>0</v>
      </c>
      <c r="J25" s="476"/>
      <c r="K25" s="488"/>
      <c r="L25" s="479">
        <f t="shared" si="8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1"/>
        <v/>
      </c>
      <c r="C26" s="473">
        <f>IF(D11="","-",+C25+1)</f>
        <v>2024</v>
      </c>
      <c r="D26" s="486">
        <f>IF(F25+SUM(E$17:E25)=D$10,F25,D$10-SUM(E$17:E25))</f>
        <v>1390746.1453641767</v>
      </c>
      <c r="E26" s="485">
        <f t="shared" si="4"/>
        <v>37600.511111111111</v>
      </c>
      <c r="F26" s="486">
        <f t="shared" si="5"/>
        <v>1353145.6342530656</v>
      </c>
      <c r="G26" s="487">
        <f t="shared" si="6"/>
        <v>220729.51111111112</v>
      </c>
      <c r="H26" s="456">
        <f t="shared" si="7"/>
        <v>220729.51111111112</v>
      </c>
      <c r="I26" s="476">
        <f t="shared" si="0"/>
        <v>0</v>
      </c>
      <c r="J26" s="476"/>
      <c r="K26" s="488"/>
      <c r="L26" s="479">
        <f t="shared" si="8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1"/>
        <v/>
      </c>
      <c r="C27" s="473">
        <f>IF(D11="","-",+C26+1)</f>
        <v>2025</v>
      </c>
      <c r="D27" s="486">
        <f>IF(F26+SUM(E$17:E26)=D$10,F26,D$10-SUM(E$17:E26))</f>
        <v>1353145.6342530656</v>
      </c>
      <c r="E27" s="485">
        <f t="shared" si="4"/>
        <v>37600.511111111111</v>
      </c>
      <c r="F27" s="486">
        <f t="shared" si="5"/>
        <v>1315545.1231419544</v>
      </c>
      <c r="G27" s="487">
        <f t="shared" si="6"/>
        <v>215640.51111111112</v>
      </c>
      <c r="H27" s="456">
        <f t="shared" si="7"/>
        <v>215640.51111111112</v>
      </c>
      <c r="I27" s="476">
        <f t="shared" si="0"/>
        <v>0</v>
      </c>
      <c r="J27" s="476"/>
      <c r="K27" s="488"/>
      <c r="L27" s="479">
        <f t="shared" si="8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1"/>
        <v/>
      </c>
      <c r="C28" s="473">
        <f>IF(D11="","-",+C27+1)</f>
        <v>2026</v>
      </c>
      <c r="D28" s="486">
        <f>IF(F27+SUM(E$17:E27)=D$10,F27,D$10-SUM(E$17:E27))</f>
        <v>1315545.1231419544</v>
      </c>
      <c r="E28" s="485">
        <f t="shared" si="4"/>
        <v>37600.511111111111</v>
      </c>
      <c r="F28" s="486">
        <f t="shared" si="5"/>
        <v>1277944.6120308433</v>
      </c>
      <c r="G28" s="487">
        <f t="shared" si="6"/>
        <v>210551.51111111112</v>
      </c>
      <c r="H28" s="456">
        <f t="shared" si="7"/>
        <v>210551.51111111112</v>
      </c>
      <c r="I28" s="476">
        <f t="shared" si="0"/>
        <v>0</v>
      </c>
      <c r="J28" s="476"/>
      <c r="K28" s="488"/>
      <c r="L28" s="479">
        <f t="shared" si="8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1"/>
        <v/>
      </c>
      <c r="C29" s="473">
        <f>IF(D11="","-",+C28+1)</f>
        <v>2027</v>
      </c>
      <c r="D29" s="486">
        <f>IF(F28+SUM(E$17:E28)=D$10,F28,D$10-SUM(E$17:E28))</f>
        <v>1277944.6120308433</v>
      </c>
      <c r="E29" s="485">
        <f t="shared" si="4"/>
        <v>37600.511111111111</v>
      </c>
      <c r="F29" s="486">
        <f t="shared" si="5"/>
        <v>1240344.1009197321</v>
      </c>
      <c r="G29" s="487">
        <f t="shared" si="6"/>
        <v>205462.51111111112</v>
      </c>
      <c r="H29" s="456">
        <f t="shared" si="7"/>
        <v>205462.51111111112</v>
      </c>
      <c r="I29" s="476">
        <f t="shared" si="0"/>
        <v>0</v>
      </c>
      <c r="J29" s="476"/>
      <c r="K29" s="488"/>
      <c r="L29" s="479">
        <f t="shared" si="8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1"/>
        <v/>
      </c>
      <c r="C30" s="473">
        <f>IF(D11="","-",+C29+1)</f>
        <v>2028</v>
      </c>
      <c r="D30" s="486">
        <f>IF(F29+SUM(E$17:E29)=D$10,F29,D$10-SUM(E$17:E29))</f>
        <v>1240344.1009197321</v>
      </c>
      <c r="E30" s="485">
        <f t="shared" si="4"/>
        <v>37600.511111111111</v>
      </c>
      <c r="F30" s="486">
        <f t="shared" si="5"/>
        <v>1202743.589808621</v>
      </c>
      <c r="G30" s="487">
        <f t="shared" si="6"/>
        <v>200374.51111111112</v>
      </c>
      <c r="H30" s="456">
        <f t="shared" si="7"/>
        <v>200374.51111111112</v>
      </c>
      <c r="I30" s="476">
        <f t="shared" si="0"/>
        <v>0</v>
      </c>
      <c r="J30" s="476"/>
      <c r="K30" s="488"/>
      <c r="L30" s="479">
        <f t="shared" si="8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1"/>
        <v/>
      </c>
      <c r="C31" s="473">
        <f>IF(D11="","-",+C30+1)</f>
        <v>2029</v>
      </c>
      <c r="D31" s="486">
        <f>IF(F30+SUM(E$17:E30)=D$10,F30,D$10-SUM(E$17:E30))</f>
        <v>1202743.589808621</v>
      </c>
      <c r="E31" s="485">
        <f t="shared" si="4"/>
        <v>37600.511111111111</v>
      </c>
      <c r="F31" s="486">
        <f t="shared" si="5"/>
        <v>1165143.0786975098</v>
      </c>
      <c r="G31" s="487">
        <f t="shared" si="6"/>
        <v>195285.51111111112</v>
      </c>
      <c r="H31" s="456">
        <f t="shared" si="7"/>
        <v>195285.51111111112</v>
      </c>
      <c r="I31" s="476">
        <f t="shared" si="0"/>
        <v>0</v>
      </c>
      <c r="J31" s="476"/>
      <c r="K31" s="488"/>
      <c r="L31" s="479">
        <f t="shared" si="8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1"/>
        <v/>
      </c>
      <c r="C32" s="473">
        <f>IF(D11="","-",+C31+1)</f>
        <v>2030</v>
      </c>
      <c r="D32" s="486">
        <f>IF(F31+SUM(E$17:E31)=D$10,F31,D$10-SUM(E$17:E31))</f>
        <v>1165143.0786975098</v>
      </c>
      <c r="E32" s="485">
        <f t="shared" si="4"/>
        <v>37600.511111111111</v>
      </c>
      <c r="F32" s="486">
        <f t="shared" si="5"/>
        <v>1127542.5675863987</v>
      </c>
      <c r="G32" s="487">
        <f t="shared" si="6"/>
        <v>190196.51111111112</v>
      </c>
      <c r="H32" s="456">
        <f t="shared" si="7"/>
        <v>190196.51111111112</v>
      </c>
      <c r="I32" s="476">
        <f t="shared" si="0"/>
        <v>0</v>
      </c>
      <c r="J32" s="476"/>
      <c r="K32" s="488"/>
      <c r="L32" s="479">
        <f t="shared" si="8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1"/>
        <v/>
      </c>
      <c r="C33" s="473">
        <f>IF(D11="","-",+C32+1)</f>
        <v>2031</v>
      </c>
      <c r="D33" s="486">
        <f>IF(F32+SUM(E$17:E32)=D$10,F32,D$10-SUM(E$17:E32))</f>
        <v>1127542.5675863987</v>
      </c>
      <c r="E33" s="485">
        <f t="shared" si="4"/>
        <v>37600.511111111111</v>
      </c>
      <c r="F33" s="486">
        <f t="shared" si="5"/>
        <v>1089942.0564752875</v>
      </c>
      <c r="G33" s="487">
        <f t="shared" si="6"/>
        <v>185108.51111111112</v>
      </c>
      <c r="H33" s="456">
        <f t="shared" si="7"/>
        <v>185108.51111111112</v>
      </c>
      <c r="I33" s="476">
        <f t="shared" si="0"/>
        <v>0</v>
      </c>
      <c r="J33" s="476"/>
      <c r="K33" s="488"/>
      <c r="L33" s="479">
        <f t="shared" si="8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1"/>
        <v/>
      </c>
      <c r="C34" s="473">
        <f>IF(D11="","-",+C33+1)</f>
        <v>2032</v>
      </c>
      <c r="D34" s="486">
        <f>IF(F33+SUM(E$17:E33)=D$10,F33,D$10-SUM(E$17:E33))</f>
        <v>1089942.0564752875</v>
      </c>
      <c r="E34" s="485">
        <f t="shared" si="4"/>
        <v>37600.511111111111</v>
      </c>
      <c r="F34" s="486">
        <f t="shared" si="5"/>
        <v>1052341.5453641764</v>
      </c>
      <c r="G34" s="487">
        <f t="shared" si="6"/>
        <v>180019.51111111112</v>
      </c>
      <c r="H34" s="456">
        <f t="shared" si="7"/>
        <v>180019.51111111112</v>
      </c>
      <c r="I34" s="476">
        <f t="shared" si="0"/>
        <v>0</v>
      </c>
      <c r="J34" s="476"/>
      <c r="K34" s="488"/>
      <c r="L34" s="479">
        <f t="shared" si="8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1"/>
        <v/>
      </c>
      <c r="C35" s="473">
        <f>IF(D11="","-",+C34+1)</f>
        <v>2033</v>
      </c>
      <c r="D35" s="486">
        <f>IF(F34+SUM(E$17:E34)=D$10,F34,D$10-SUM(E$17:E34))</f>
        <v>1052341.5453641764</v>
      </c>
      <c r="E35" s="485">
        <f t="shared" si="4"/>
        <v>37600.511111111111</v>
      </c>
      <c r="F35" s="486">
        <f t="shared" si="5"/>
        <v>1014741.0342530652</v>
      </c>
      <c r="G35" s="487">
        <f t="shared" si="6"/>
        <v>174930.51111111112</v>
      </c>
      <c r="H35" s="456">
        <f t="shared" si="7"/>
        <v>174930.51111111112</v>
      </c>
      <c r="I35" s="476">
        <f t="shared" si="0"/>
        <v>0</v>
      </c>
      <c r="J35" s="476"/>
      <c r="K35" s="488"/>
      <c r="L35" s="479">
        <f t="shared" si="8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1"/>
        <v/>
      </c>
      <c r="C36" s="473">
        <f>IF(D11="","-",+C35+1)</f>
        <v>2034</v>
      </c>
      <c r="D36" s="486">
        <f>IF(F35+SUM(E$17:E35)=D$10,F35,D$10-SUM(E$17:E35))</f>
        <v>1014741.0342530652</v>
      </c>
      <c r="E36" s="485">
        <f t="shared" si="4"/>
        <v>37600.511111111111</v>
      </c>
      <c r="F36" s="486">
        <f t="shared" si="5"/>
        <v>977140.52314195409</v>
      </c>
      <c r="G36" s="487">
        <f t="shared" si="6"/>
        <v>169842.51111111112</v>
      </c>
      <c r="H36" s="456">
        <f t="shared" si="7"/>
        <v>169842.51111111112</v>
      </c>
      <c r="I36" s="476">
        <f t="shared" si="0"/>
        <v>0</v>
      </c>
      <c r="J36" s="476"/>
      <c r="K36" s="488"/>
      <c r="L36" s="479">
        <f t="shared" si="8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1"/>
        <v/>
      </c>
      <c r="C37" s="473">
        <f>IF(D11="","-",+C36+1)</f>
        <v>2035</v>
      </c>
      <c r="D37" s="486">
        <f>IF(F36+SUM(E$17:E36)=D$10,F36,D$10-SUM(E$17:E36))</f>
        <v>977140.52314195409</v>
      </c>
      <c r="E37" s="485">
        <f t="shared" si="4"/>
        <v>37600.511111111111</v>
      </c>
      <c r="F37" s="486">
        <f t="shared" si="5"/>
        <v>939540.01203084295</v>
      </c>
      <c r="G37" s="487">
        <f t="shared" si="6"/>
        <v>164753.51111111112</v>
      </c>
      <c r="H37" s="456">
        <f t="shared" si="7"/>
        <v>164753.51111111112</v>
      </c>
      <c r="I37" s="476">
        <f t="shared" si="0"/>
        <v>0</v>
      </c>
      <c r="J37" s="476"/>
      <c r="K37" s="488"/>
      <c r="L37" s="479">
        <f t="shared" si="8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1"/>
        <v/>
      </c>
      <c r="C38" s="473">
        <f>IF(D11="","-",+C37+1)</f>
        <v>2036</v>
      </c>
      <c r="D38" s="486">
        <f>IF(F37+SUM(E$17:E37)=D$10,F37,D$10-SUM(E$17:E37))</f>
        <v>939540.01203084295</v>
      </c>
      <c r="E38" s="485">
        <f t="shared" si="4"/>
        <v>37600.511111111111</v>
      </c>
      <c r="F38" s="486">
        <f t="shared" si="5"/>
        <v>901939.5009197318</v>
      </c>
      <c r="G38" s="487">
        <f t="shared" si="6"/>
        <v>159664.51111111112</v>
      </c>
      <c r="H38" s="456">
        <f t="shared" si="7"/>
        <v>159664.51111111112</v>
      </c>
      <c r="I38" s="476">
        <f t="shared" si="0"/>
        <v>0</v>
      </c>
      <c r="J38" s="476"/>
      <c r="K38" s="488"/>
      <c r="L38" s="479">
        <f t="shared" si="8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1"/>
        <v/>
      </c>
      <c r="C39" s="473">
        <f>IF(D11="","-",+C38+1)</f>
        <v>2037</v>
      </c>
      <c r="D39" s="486">
        <f>IF(F38+SUM(E$17:E38)=D$10,F38,D$10-SUM(E$17:E38))</f>
        <v>901939.5009197318</v>
      </c>
      <c r="E39" s="485">
        <f t="shared" si="4"/>
        <v>37600.511111111111</v>
      </c>
      <c r="F39" s="486">
        <f t="shared" si="5"/>
        <v>864338.98980862065</v>
      </c>
      <c r="G39" s="487">
        <f t="shared" si="6"/>
        <v>154576.51111111112</v>
      </c>
      <c r="H39" s="456">
        <f t="shared" si="7"/>
        <v>154576.51111111112</v>
      </c>
      <c r="I39" s="476">
        <f t="shared" si="0"/>
        <v>0</v>
      </c>
      <c r="J39" s="476"/>
      <c r="K39" s="488"/>
      <c r="L39" s="479">
        <f t="shared" si="8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1"/>
        <v/>
      </c>
      <c r="C40" s="473">
        <f>IF(D11="","-",+C39+1)</f>
        <v>2038</v>
      </c>
      <c r="D40" s="486">
        <f>IF(F39+SUM(E$17:E39)=D$10,F39,D$10-SUM(E$17:E39))</f>
        <v>864338.98980862065</v>
      </c>
      <c r="E40" s="485">
        <f t="shared" si="4"/>
        <v>37600.511111111111</v>
      </c>
      <c r="F40" s="486">
        <f t="shared" si="5"/>
        <v>826738.4786975095</v>
      </c>
      <c r="G40" s="487">
        <f t="shared" si="6"/>
        <v>149487.51111111112</v>
      </c>
      <c r="H40" s="456">
        <f t="shared" si="7"/>
        <v>149487.51111111112</v>
      </c>
      <c r="I40" s="476">
        <f t="shared" si="0"/>
        <v>0</v>
      </c>
      <c r="J40" s="476"/>
      <c r="K40" s="488"/>
      <c r="L40" s="479">
        <f t="shared" si="8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1"/>
        <v/>
      </c>
      <c r="C41" s="473">
        <f>IF(D11="","-",+C40+1)</f>
        <v>2039</v>
      </c>
      <c r="D41" s="486">
        <f>IF(F40+SUM(E$17:E40)=D$10,F40,D$10-SUM(E$17:E40))</f>
        <v>826738.4786975095</v>
      </c>
      <c r="E41" s="485">
        <f t="shared" si="4"/>
        <v>37600.511111111111</v>
      </c>
      <c r="F41" s="486">
        <f t="shared" si="5"/>
        <v>789137.96758639836</v>
      </c>
      <c r="G41" s="487">
        <f t="shared" si="6"/>
        <v>144398.51111111112</v>
      </c>
      <c r="H41" s="456">
        <f t="shared" si="7"/>
        <v>144398.51111111112</v>
      </c>
      <c r="I41" s="476">
        <f t="shared" si="0"/>
        <v>0</v>
      </c>
      <c r="J41" s="476"/>
      <c r="K41" s="488"/>
      <c r="L41" s="479">
        <f t="shared" si="8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1"/>
        <v/>
      </c>
      <c r="C42" s="473">
        <f>IF(D11="","-",+C41+1)</f>
        <v>2040</v>
      </c>
      <c r="D42" s="486">
        <f>IF(F41+SUM(E$17:E41)=D$10,F41,D$10-SUM(E$17:E41))</f>
        <v>789137.96758639836</v>
      </c>
      <c r="E42" s="485">
        <f t="shared" si="4"/>
        <v>37600.511111111111</v>
      </c>
      <c r="F42" s="486">
        <f t="shared" si="5"/>
        <v>751537.45647528721</v>
      </c>
      <c r="G42" s="487">
        <f t="shared" si="6"/>
        <v>139310.51111111112</v>
      </c>
      <c r="H42" s="456">
        <f t="shared" si="7"/>
        <v>139310.51111111112</v>
      </c>
      <c r="I42" s="476">
        <f t="shared" si="0"/>
        <v>0</v>
      </c>
      <c r="J42" s="476"/>
      <c r="K42" s="488"/>
      <c r="L42" s="479">
        <f t="shared" si="8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1"/>
        <v/>
      </c>
      <c r="C43" s="473">
        <f>IF(D11="","-",+C42+1)</f>
        <v>2041</v>
      </c>
      <c r="D43" s="486">
        <f>IF(F42+SUM(E$17:E42)=D$10,F42,D$10-SUM(E$17:E42))</f>
        <v>751537.45647528721</v>
      </c>
      <c r="E43" s="485">
        <f t="shared" si="4"/>
        <v>37600.511111111111</v>
      </c>
      <c r="F43" s="486">
        <f t="shared" si="5"/>
        <v>713936.94536417606</v>
      </c>
      <c r="G43" s="487">
        <f t="shared" si="6"/>
        <v>134221.51111111112</v>
      </c>
      <c r="H43" s="456">
        <f t="shared" si="7"/>
        <v>134221.51111111112</v>
      </c>
      <c r="I43" s="476">
        <f t="shared" si="0"/>
        <v>0</v>
      </c>
      <c r="J43" s="476"/>
      <c r="K43" s="488"/>
      <c r="L43" s="479">
        <f t="shared" si="8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1"/>
        <v/>
      </c>
      <c r="C44" s="473">
        <f>IF(D11="","-",+C43+1)</f>
        <v>2042</v>
      </c>
      <c r="D44" s="486">
        <f>IF(F43+SUM(E$17:E43)=D$10,F43,D$10-SUM(E$17:E43))</f>
        <v>713936.94536417606</v>
      </c>
      <c r="E44" s="485">
        <f t="shared" si="4"/>
        <v>37600.511111111111</v>
      </c>
      <c r="F44" s="486">
        <f t="shared" si="5"/>
        <v>676336.43425306492</v>
      </c>
      <c r="G44" s="487">
        <f t="shared" si="6"/>
        <v>129132.51111111112</v>
      </c>
      <c r="H44" s="456">
        <f t="shared" si="7"/>
        <v>129132.51111111112</v>
      </c>
      <c r="I44" s="476">
        <f t="shared" si="0"/>
        <v>0</v>
      </c>
      <c r="J44" s="476"/>
      <c r="K44" s="488"/>
      <c r="L44" s="479">
        <f t="shared" si="8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1"/>
        <v/>
      </c>
      <c r="C45" s="473">
        <f>IF(D11="","-",+C44+1)</f>
        <v>2043</v>
      </c>
      <c r="D45" s="486">
        <f>IF(F44+SUM(E$17:E44)=D$10,F44,D$10-SUM(E$17:E44))</f>
        <v>676336.43425306492</v>
      </c>
      <c r="E45" s="485">
        <f t="shared" si="4"/>
        <v>37600.511111111111</v>
      </c>
      <c r="F45" s="486">
        <f t="shared" si="5"/>
        <v>638735.92314195377</v>
      </c>
      <c r="G45" s="487">
        <f t="shared" si="6"/>
        <v>124044.51111111112</v>
      </c>
      <c r="H45" s="456">
        <f t="shared" si="7"/>
        <v>124044.51111111112</v>
      </c>
      <c r="I45" s="476">
        <f t="shared" si="0"/>
        <v>0</v>
      </c>
      <c r="J45" s="476"/>
      <c r="K45" s="488"/>
      <c r="L45" s="479">
        <f t="shared" si="8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1"/>
        <v/>
      </c>
      <c r="C46" s="473">
        <f>IF(D11="","-",+C45+1)</f>
        <v>2044</v>
      </c>
      <c r="D46" s="486">
        <f>IF(F45+SUM(E$17:E45)=D$10,F45,D$10-SUM(E$17:E45))</f>
        <v>638735.92314195377</v>
      </c>
      <c r="E46" s="485">
        <f t="shared" si="4"/>
        <v>37600.511111111111</v>
      </c>
      <c r="F46" s="486">
        <f t="shared" si="5"/>
        <v>601135.41203084262</v>
      </c>
      <c r="G46" s="487">
        <f t="shared" si="6"/>
        <v>118955.51111111112</v>
      </c>
      <c r="H46" s="456">
        <f t="shared" si="7"/>
        <v>118955.51111111112</v>
      </c>
      <c r="I46" s="476">
        <f t="shared" si="0"/>
        <v>0</v>
      </c>
      <c r="J46" s="476"/>
      <c r="K46" s="488"/>
      <c r="L46" s="479">
        <f t="shared" si="8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1"/>
        <v/>
      </c>
      <c r="C47" s="473">
        <f>IF(D11="","-",+C46+1)</f>
        <v>2045</v>
      </c>
      <c r="D47" s="486">
        <f>IF(F46+SUM(E$17:E46)=D$10,F46,D$10-SUM(E$17:E46))</f>
        <v>601135.41203084262</v>
      </c>
      <c r="E47" s="485">
        <f t="shared" si="4"/>
        <v>37600.511111111111</v>
      </c>
      <c r="F47" s="486">
        <f t="shared" si="5"/>
        <v>563534.90091973147</v>
      </c>
      <c r="G47" s="487">
        <f t="shared" si="6"/>
        <v>113866.51111111112</v>
      </c>
      <c r="H47" s="456">
        <f t="shared" si="7"/>
        <v>113866.51111111112</v>
      </c>
      <c r="I47" s="476">
        <f t="shared" si="0"/>
        <v>0</v>
      </c>
      <c r="J47" s="476"/>
      <c r="K47" s="488"/>
      <c r="L47" s="479">
        <f t="shared" si="8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1"/>
        <v/>
      </c>
      <c r="C48" s="473">
        <f>IF(D11="","-",+C47+1)</f>
        <v>2046</v>
      </c>
      <c r="D48" s="486">
        <f>IF(F47+SUM(E$17:E47)=D$10,F47,D$10-SUM(E$17:E47))</f>
        <v>563534.90091973147</v>
      </c>
      <c r="E48" s="485">
        <f t="shared" si="4"/>
        <v>37600.511111111111</v>
      </c>
      <c r="F48" s="486">
        <f t="shared" si="5"/>
        <v>525934.38980862033</v>
      </c>
      <c r="G48" s="487">
        <f t="shared" si="6"/>
        <v>108778.51111111112</v>
      </c>
      <c r="H48" s="456">
        <f t="shared" si="7"/>
        <v>108778.51111111112</v>
      </c>
      <c r="I48" s="476">
        <f t="shared" si="0"/>
        <v>0</v>
      </c>
      <c r="J48" s="476"/>
      <c r="K48" s="488"/>
      <c r="L48" s="479">
        <f t="shared" si="8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1"/>
        <v/>
      </c>
      <c r="C49" s="473">
        <f>IF(D11="","-",+C48+1)</f>
        <v>2047</v>
      </c>
      <c r="D49" s="486">
        <f>IF(F48+SUM(E$17:E48)=D$10,F48,D$10-SUM(E$17:E48))</f>
        <v>525934.38980862033</v>
      </c>
      <c r="E49" s="485">
        <f t="shared" si="4"/>
        <v>37600.511111111111</v>
      </c>
      <c r="F49" s="486">
        <f t="shared" si="5"/>
        <v>488333.87869750924</v>
      </c>
      <c r="G49" s="487">
        <f t="shared" si="6"/>
        <v>103689.51111111112</v>
      </c>
      <c r="H49" s="456">
        <f t="shared" si="7"/>
        <v>103689.51111111112</v>
      </c>
      <c r="I49" s="476">
        <f t="shared" si="0"/>
        <v>0</v>
      </c>
      <c r="J49" s="476"/>
      <c r="K49" s="488"/>
      <c r="L49" s="479">
        <f t="shared" si="8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1"/>
        <v/>
      </c>
      <c r="C50" s="473">
        <f>IF(D11="","-",+C49+1)</f>
        <v>2048</v>
      </c>
      <c r="D50" s="486">
        <f>IF(F49+SUM(E$17:E49)=D$10,F49,D$10-SUM(E$17:E49))</f>
        <v>488333.87869750924</v>
      </c>
      <c r="E50" s="485">
        <f t="shared" si="4"/>
        <v>37600.511111111111</v>
      </c>
      <c r="F50" s="486">
        <f t="shared" si="5"/>
        <v>450733.36758639815</v>
      </c>
      <c r="G50" s="487">
        <f t="shared" si="6"/>
        <v>98600.511111111118</v>
      </c>
      <c r="H50" s="456">
        <f t="shared" si="7"/>
        <v>98600.511111111118</v>
      </c>
      <c r="I50" s="476">
        <f t="shared" si="0"/>
        <v>0</v>
      </c>
      <c r="J50" s="476"/>
      <c r="K50" s="488"/>
      <c r="L50" s="479">
        <f t="shared" si="8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1"/>
        <v/>
      </c>
      <c r="C51" s="473">
        <f>IF(D11="","-",+C50+1)</f>
        <v>2049</v>
      </c>
      <c r="D51" s="486">
        <f>IF(F50+SUM(E$17:E50)=D$10,F50,D$10-SUM(E$17:E50))</f>
        <v>450733.36758639815</v>
      </c>
      <c r="E51" s="485">
        <f t="shared" si="4"/>
        <v>37600.511111111111</v>
      </c>
      <c r="F51" s="486">
        <f t="shared" si="5"/>
        <v>413132.85647528706</v>
      </c>
      <c r="G51" s="487">
        <f t="shared" si="6"/>
        <v>93512.511111111118</v>
      </c>
      <c r="H51" s="456">
        <f t="shared" si="7"/>
        <v>93512.511111111118</v>
      </c>
      <c r="I51" s="476">
        <f t="shared" si="0"/>
        <v>0</v>
      </c>
      <c r="J51" s="476"/>
      <c r="K51" s="488"/>
      <c r="L51" s="479">
        <f t="shared" si="8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1"/>
        <v/>
      </c>
      <c r="C52" s="473">
        <f>IF(D11="","-",+C51+1)</f>
        <v>2050</v>
      </c>
      <c r="D52" s="486">
        <f>IF(F51+SUM(E$17:E51)=D$10,F51,D$10-SUM(E$17:E51))</f>
        <v>413132.85647528706</v>
      </c>
      <c r="E52" s="485">
        <f t="shared" si="4"/>
        <v>37600.511111111111</v>
      </c>
      <c r="F52" s="486">
        <f t="shared" si="5"/>
        <v>375532.34536417597</v>
      </c>
      <c r="G52" s="487">
        <f t="shared" si="6"/>
        <v>88423.511111111118</v>
      </c>
      <c r="H52" s="456">
        <f t="shared" si="7"/>
        <v>88423.511111111118</v>
      </c>
      <c r="I52" s="476">
        <f t="shared" si="0"/>
        <v>0</v>
      </c>
      <c r="J52" s="476"/>
      <c r="K52" s="488"/>
      <c r="L52" s="479">
        <f t="shared" si="8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1"/>
        <v/>
      </c>
      <c r="C53" s="473">
        <f>IF(D11="","-",+C52+1)</f>
        <v>2051</v>
      </c>
      <c r="D53" s="486">
        <f>IF(F52+SUM(E$17:E52)=D$10,F52,D$10-SUM(E$17:E52))</f>
        <v>375532.34536417597</v>
      </c>
      <c r="E53" s="485">
        <f t="shared" si="4"/>
        <v>37600.511111111111</v>
      </c>
      <c r="F53" s="486">
        <f t="shared" si="5"/>
        <v>337931.83425306488</v>
      </c>
      <c r="G53" s="487">
        <f t="shared" si="6"/>
        <v>83334.511111111118</v>
      </c>
      <c r="H53" s="456">
        <f t="shared" si="7"/>
        <v>83334.511111111118</v>
      </c>
      <c r="I53" s="476">
        <f t="shared" si="0"/>
        <v>0</v>
      </c>
      <c r="J53" s="476"/>
      <c r="K53" s="488"/>
      <c r="L53" s="479">
        <f t="shared" si="8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1"/>
        <v/>
      </c>
      <c r="C54" s="473">
        <f>IF(D11="","-",+C53+1)</f>
        <v>2052</v>
      </c>
      <c r="D54" s="486">
        <f>IF(F53+SUM(E$17:E53)=D$10,F53,D$10-SUM(E$17:E53))</f>
        <v>337931.83425306488</v>
      </c>
      <c r="E54" s="485">
        <f t="shared" si="4"/>
        <v>37600.511111111111</v>
      </c>
      <c r="F54" s="486">
        <f t="shared" si="5"/>
        <v>300331.32314195379</v>
      </c>
      <c r="G54" s="487">
        <f t="shared" si="6"/>
        <v>78245.511111111118</v>
      </c>
      <c r="H54" s="456">
        <f t="shared" si="7"/>
        <v>78245.511111111118</v>
      </c>
      <c r="I54" s="476">
        <f t="shared" si="0"/>
        <v>0</v>
      </c>
      <c r="J54" s="476"/>
      <c r="K54" s="488"/>
      <c r="L54" s="479">
        <f t="shared" si="8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1"/>
        <v/>
      </c>
      <c r="C55" s="473">
        <f>IF(D11="","-",+C54+1)</f>
        <v>2053</v>
      </c>
      <c r="D55" s="486">
        <f>IF(F54+SUM(E$17:E54)=D$10,F54,D$10-SUM(E$17:E54))</f>
        <v>300331.32314195379</v>
      </c>
      <c r="E55" s="485">
        <f t="shared" si="4"/>
        <v>37600.511111111111</v>
      </c>
      <c r="F55" s="486">
        <f t="shared" si="5"/>
        <v>262730.8120308427</v>
      </c>
      <c r="G55" s="487">
        <f t="shared" si="6"/>
        <v>73157.511111111118</v>
      </c>
      <c r="H55" s="456">
        <f t="shared" si="7"/>
        <v>73157.511111111118</v>
      </c>
      <c r="I55" s="476">
        <f t="shared" si="0"/>
        <v>0</v>
      </c>
      <c r="J55" s="476"/>
      <c r="K55" s="488"/>
      <c r="L55" s="479">
        <f t="shared" si="8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1"/>
        <v/>
      </c>
      <c r="C56" s="473">
        <f>IF(D11="","-",+C55+1)</f>
        <v>2054</v>
      </c>
      <c r="D56" s="486">
        <f>IF(F55+SUM(E$17:E55)=D$10,F55,D$10-SUM(E$17:E55))</f>
        <v>262730.8120308427</v>
      </c>
      <c r="E56" s="485">
        <f t="shared" si="4"/>
        <v>37600.511111111111</v>
      </c>
      <c r="F56" s="486">
        <f t="shared" si="5"/>
        <v>225130.30091973158</v>
      </c>
      <c r="G56" s="487">
        <f t="shared" si="6"/>
        <v>68068.511111111118</v>
      </c>
      <c r="H56" s="456">
        <f t="shared" si="7"/>
        <v>68068.511111111118</v>
      </c>
      <c r="I56" s="476">
        <f t="shared" si="0"/>
        <v>0</v>
      </c>
      <c r="J56" s="476"/>
      <c r="K56" s="488"/>
      <c r="L56" s="479">
        <f t="shared" si="8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1"/>
        <v/>
      </c>
      <c r="C57" s="473">
        <f>IF(D11="","-",+C56+1)</f>
        <v>2055</v>
      </c>
      <c r="D57" s="486">
        <f>IF(F56+SUM(E$17:E56)=D$10,F56,D$10-SUM(E$17:E56))</f>
        <v>225130.30091973158</v>
      </c>
      <c r="E57" s="485">
        <f t="shared" si="4"/>
        <v>37600.511111111111</v>
      </c>
      <c r="F57" s="486">
        <f t="shared" si="5"/>
        <v>187529.78980862047</v>
      </c>
      <c r="G57" s="487">
        <f t="shared" si="6"/>
        <v>62979.511111111111</v>
      </c>
      <c r="H57" s="456">
        <f t="shared" si="7"/>
        <v>62979.511111111111</v>
      </c>
      <c r="I57" s="476">
        <f t="shared" si="0"/>
        <v>0</v>
      </c>
      <c r="J57" s="476"/>
      <c r="K57" s="488"/>
      <c r="L57" s="479">
        <f t="shared" si="8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1"/>
        <v/>
      </c>
      <c r="C58" s="473">
        <f>IF(D11="","-",+C57+1)</f>
        <v>2056</v>
      </c>
      <c r="D58" s="486">
        <f>IF(F57+SUM(E$17:E57)=D$10,F57,D$10-SUM(E$17:E57))</f>
        <v>187529.78980862047</v>
      </c>
      <c r="E58" s="485">
        <f t="shared" si="4"/>
        <v>37600.511111111111</v>
      </c>
      <c r="F58" s="486">
        <f t="shared" si="5"/>
        <v>149929.27869750935</v>
      </c>
      <c r="G58" s="487">
        <f t="shared" si="6"/>
        <v>57891.511111111111</v>
      </c>
      <c r="H58" s="456">
        <f t="shared" si="7"/>
        <v>57891.511111111111</v>
      </c>
      <c r="I58" s="476">
        <f t="shared" si="0"/>
        <v>0</v>
      </c>
      <c r="J58" s="476"/>
      <c r="K58" s="488"/>
      <c r="L58" s="479">
        <f t="shared" si="8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1"/>
        <v/>
      </c>
      <c r="C59" s="473">
        <f>IF(D11="","-",+C58+1)</f>
        <v>2057</v>
      </c>
      <c r="D59" s="486">
        <f>IF(F58+SUM(E$17:E58)=D$10,F58,D$10-SUM(E$17:E58))</f>
        <v>149929.27869750935</v>
      </c>
      <c r="E59" s="485">
        <f t="shared" si="4"/>
        <v>37600.511111111111</v>
      </c>
      <c r="F59" s="486">
        <f t="shared" si="5"/>
        <v>112328.76758639823</v>
      </c>
      <c r="G59" s="487">
        <f t="shared" si="6"/>
        <v>52802.511111111111</v>
      </c>
      <c r="H59" s="456">
        <f t="shared" si="7"/>
        <v>52802.511111111111</v>
      </c>
      <c r="I59" s="476">
        <f t="shared" si="0"/>
        <v>0</v>
      </c>
      <c r="J59" s="476"/>
      <c r="K59" s="488"/>
      <c r="L59" s="479">
        <f t="shared" si="8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1"/>
        <v/>
      </c>
      <c r="C60" s="473">
        <f>IF(D11="","-",+C59+1)</f>
        <v>2058</v>
      </c>
      <c r="D60" s="486">
        <f>IF(F59+SUM(E$17:E59)=D$10,F59,D$10-SUM(E$17:E59))</f>
        <v>112328.76758639823</v>
      </c>
      <c r="E60" s="485">
        <f t="shared" si="4"/>
        <v>37600.511111111111</v>
      </c>
      <c r="F60" s="486">
        <f t="shared" si="5"/>
        <v>74728.256475287111</v>
      </c>
      <c r="G60" s="487">
        <f t="shared" si="6"/>
        <v>47713.511111111111</v>
      </c>
      <c r="H60" s="456">
        <f t="shared" si="7"/>
        <v>47713.511111111111</v>
      </c>
      <c r="I60" s="476">
        <f t="shared" si="0"/>
        <v>0</v>
      </c>
      <c r="J60" s="476"/>
      <c r="K60" s="488"/>
      <c r="L60" s="479">
        <f t="shared" si="8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1"/>
        <v/>
      </c>
      <c r="C61" s="473">
        <f>IF(D11="","-",+C60+1)</f>
        <v>2059</v>
      </c>
      <c r="D61" s="486">
        <f>IF(F60+SUM(E$17:E60)=D$10,F60,D$10-SUM(E$17:E60))</f>
        <v>74728.256475287111</v>
      </c>
      <c r="E61" s="485">
        <f t="shared" si="4"/>
        <v>37600.511111111111</v>
      </c>
      <c r="F61" s="486">
        <f t="shared" si="5"/>
        <v>37127.745364176</v>
      </c>
      <c r="G61" s="487">
        <f t="shared" si="6"/>
        <v>42625.511111111111</v>
      </c>
      <c r="H61" s="456">
        <f t="shared" si="7"/>
        <v>42625.511111111111</v>
      </c>
      <c r="I61" s="476">
        <f t="shared" si="0"/>
        <v>0</v>
      </c>
      <c r="J61" s="476"/>
      <c r="K61" s="488"/>
      <c r="L61" s="479">
        <f t="shared" si="8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1"/>
        <v/>
      </c>
      <c r="C62" s="473">
        <f>IF(D11="","-",+C61+1)</f>
        <v>2060</v>
      </c>
      <c r="D62" s="486">
        <f>IF(F61+SUM(E$17:E61)=D$10,F61,D$10-SUM(E$17:E61))</f>
        <v>37127.745364176</v>
      </c>
      <c r="E62" s="485">
        <f t="shared" si="4"/>
        <v>37127.745364176</v>
      </c>
      <c r="F62" s="486">
        <f t="shared" si="5"/>
        <v>0</v>
      </c>
      <c r="G62" s="487">
        <f t="shared" si="6"/>
        <v>37127.745364176</v>
      </c>
      <c r="H62" s="456">
        <f t="shared" si="7"/>
        <v>37127.745364176</v>
      </c>
      <c r="I62" s="476">
        <f t="shared" si="0"/>
        <v>0</v>
      </c>
      <c r="J62" s="476"/>
      <c r="K62" s="488"/>
      <c r="L62" s="479">
        <f t="shared" si="8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1"/>
        <v/>
      </c>
      <c r="C63" s="473">
        <f>IF(D11="","-",+C62+1)</f>
        <v>2061</v>
      </c>
      <c r="D63" s="486">
        <f>IF(F62+SUM(E$17:E62)=D$10,F62,D$10-SUM(E$17:E62))</f>
        <v>0</v>
      </c>
      <c r="E63" s="485">
        <f t="shared" si="4"/>
        <v>0</v>
      </c>
      <c r="F63" s="486">
        <f t="shared" si="5"/>
        <v>0</v>
      </c>
      <c r="G63" s="487">
        <f t="shared" si="6"/>
        <v>0</v>
      </c>
      <c r="H63" s="456">
        <f t="shared" si="7"/>
        <v>0</v>
      </c>
      <c r="I63" s="476">
        <f t="shared" si="0"/>
        <v>0</v>
      </c>
      <c r="J63" s="476"/>
      <c r="K63" s="488"/>
      <c r="L63" s="479">
        <f t="shared" si="8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1"/>
        <v/>
      </c>
      <c r="C64" s="473">
        <f>IF(D11="","-",+C63+1)</f>
        <v>2062</v>
      </c>
      <c r="D64" s="486">
        <f>IF(F63+SUM(E$17:E63)=D$10,F63,D$10-SUM(E$17:E63))</f>
        <v>0</v>
      </c>
      <c r="E64" s="485">
        <f t="shared" si="4"/>
        <v>0</v>
      </c>
      <c r="F64" s="486">
        <f t="shared" si="5"/>
        <v>0</v>
      </c>
      <c r="G64" s="487">
        <f t="shared" si="6"/>
        <v>0</v>
      </c>
      <c r="H64" s="456">
        <f t="shared" si="7"/>
        <v>0</v>
      </c>
      <c r="I64" s="476">
        <f t="shared" si="0"/>
        <v>0</v>
      </c>
      <c r="J64" s="476"/>
      <c r="K64" s="488"/>
      <c r="L64" s="479">
        <f t="shared" si="8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1"/>
        <v/>
      </c>
      <c r="C65" s="473">
        <f>IF(D11="","-",+C64+1)</f>
        <v>2063</v>
      </c>
      <c r="D65" s="486">
        <f>IF(F64+SUM(E$17:E64)=D$10,F64,D$10-SUM(E$17:E64))</f>
        <v>0</v>
      </c>
      <c r="E65" s="485">
        <f t="shared" si="4"/>
        <v>0</v>
      </c>
      <c r="F65" s="486">
        <f t="shared" si="5"/>
        <v>0</v>
      </c>
      <c r="G65" s="487">
        <f t="shared" si="6"/>
        <v>0</v>
      </c>
      <c r="H65" s="456">
        <f t="shared" si="7"/>
        <v>0</v>
      </c>
      <c r="I65" s="476">
        <f t="shared" si="0"/>
        <v>0</v>
      </c>
      <c r="J65" s="476"/>
      <c r="K65" s="488"/>
      <c r="L65" s="479">
        <f t="shared" si="8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1"/>
        <v/>
      </c>
      <c r="C66" s="473">
        <f>IF(D11="","-",+C65+1)</f>
        <v>2064</v>
      </c>
      <c r="D66" s="486">
        <f>IF(F65+SUM(E$17:E65)=D$10,F65,D$10-SUM(E$17:E65))</f>
        <v>0</v>
      </c>
      <c r="E66" s="485">
        <f t="shared" si="4"/>
        <v>0</v>
      </c>
      <c r="F66" s="486">
        <f t="shared" si="5"/>
        <v>0</v>
      </c>
      <c r="G66" s="487">
        <f t="shared" si="6"/>
        <v>0</v>
      </c>
      <c r="H66" s="456">
        <f t="shared" si="7"/>
        <v>0</v>
      </c>
      <c r="I66" s="476">
        <f t="shared" si="0"/>
        <v>0</v>
      </c>
      <c r="J66" s="476"/>
      <c r="K66" s="488"/>
      <c r="L66" s="479">
        <f t="shared" si="8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1"/>
        <v/>
      </c>
      <c r="C67" s="473">
        <f>IF(D11="","-",+C66+1)</f>
        <v>2065</v>
      </c>
      <c r="D67" s="486">
        <f>IF(F66+SUM(E$17:E66)=D$10,F66,D$10-SUM(E$17:E66))</f>
        <v>0</v>
      </c>
      <c r="E67" s="485">
        <f t="shared" si="4"/>
        <v>0</v>
      </c>
      <c r="F67" s="486">
        <f t="shared" si="5"/>
        <v>0</v>
      </c>
      <c r="G67" s="487">
        <f t="shared" si="6"/>
        <v>0</v>
      </c>
      <c r="H67" s="456">
        <f t="shared" si="7"/>
        <v>0</v>
      </c>
      <c r="I67" s="476">
        <f t="shared" si="0"/>
        <v>0</v>
      </c>
      <c r="J67" s="476"/>
      <c r="K67" s="488"/>
      <c r="L67" s="479">
        <f t="shared" si="8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1"/>
        <v/>
      </c>
      <c r="C68" s="473">
        <f>IF(D11="","-",+C67+1)</f>
        <v>2066</v>
      </c>
      <c r="D68" s="486">
        <f>IF(F67+SUM(E$17:E67)=D$10,F67,D$10-SUM(E$17:E67))</f>
        <v>0</v>
      </c>
      <c r="E68" s="485">
        <f t="shared" si="4"/>
        <v>0</v>
      </c>
      <c r="F68" s="486">
        <f t="shared" si="5"/>
        <v>0</v>
      </c>
      <c r="G68" s="487">
        <f t="shared" si="6"/>
        <v>0</v>
      </c>
      <c r="H68" s="456">
        <f t="shared" si="7"/>
        <v>0</v>
      </c>
      <c r="I68" s="476">
        <f t="shared" si="0"/>
        <v>0</v>
      </c>
      <c r="J68" s="476"/>
      <c r="K68" s="488"/>
      <c r="L68" s="479">
        <f t="shared" si="8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1"/>
        <v/>
      </c>
      <c r="C69" s="473">
        <f>IF(D11="","-",+C68+1)</f>
        <v>2067</v>
      </c>
      <c r="D69" s="486">
        <f>IF(F68+SUM(E$17:E68)=D$10,F68,D$10-SUM(E$17:E68))</f>
        <v>0</v>
      </c>
      <c r="E69" s="485">
        <f t="shared" si="4"/>
        <v>0</v>
      </c>
      <c r="F69" s="486">
        <f t="shared" si="5"/>
        <v>0</v>
      </c>
      <c r="G69" s="487">
        <f t="shared" si="6"/>
        <v>0</v>
      </c>
      <c r="H69" s="456">
        <f t="shared" si="7"/>
        <v>0</v>
      </c>
      <c r="I69" s="476">
        <f t="shared" si="0"/>
        <v>0</v>
      </c>
      <c r="J69" s="476"/>
      <c r="K69" s="488"/>
      <c r="L69" s="479">
        <f t="shared" si="8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1"/>
        <v/>
      </c>
      <c r="C70" s="473">
        <f>IF(D11="","-",+C69+1)</f>
        <v>2068</v>
      </c>
      <c r="D70" s="486">
        <f>IF(F69+SUM(E$17:E69)=D$10,F69,D$10-SUM(E$17:E69))</f>
        <v>0</v>
      </c>
      <c r="E70" s="485">
        <f t="shared" si="4"/>
        <v>0</v>
      </c>
      <c r="F70" s="486">
        <f t="shared" si="5"/>
        <v>0</v>
      </c>
      <c r="G70" s="487">
        <f t="shared" si="6"/>
        <v>0</v>
      </c>
      <c r="H70" s="456">
        <f t="shared" si="7"/>
        <v>0</v>
      </c>
      <c r="I70" s="476">
        <f t="shared" si="0"/>
        <v>0</v>
      </c>
      <c r="J70" s="476"/>
      <c r="K70" s="488"/>
      <c r="L70" s="479">
        <f t="shared" si="8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1"/>
        <v/>
      </c>
      <c r="C71" s="473">
        <f>IF(D11="","-",+C70+1)</f>
        <v>2069</v>
      </c>
      <c r="D71" s="486">
        <f>IF(F70+SUM(E$17:E70)=D$10,F70,D$10-SUM(E$17:E70))</f>
        <v>0</v>
      </c>
      <c r="E71" s="485">
        <f t="shared" si="4"/>
        <v>0</v>
      </c>
      <c r="F71" s="486">
        <f t="shared" si="5"/>
        <v>0</v>
      </c>
      <c r="G71" s="487">
        <f t="shared" si="6"/>
        <v>0</v>
      </c>
      <c r="H71" s="456">
        <f t="shared" si="7"/>
        <v>0</v>
      </c>
      <c r="I71" s="476">
        <f t="shared" si="0"/>
        <v>0</v>
      </c>
      <c r="J71" s="476"/>
      <c r="K71" s="488"/>
      <c r="L71" s="479">
        <f t="shared" si="8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1"/>
        <v/>
      </c>
      <c r="C72" s="490">
        <f>IF(D11="","-",+C71+1)</f>
        <v>2070</v>
      </c>
      <c r="D72" s="491">
        <f>IF(F71+SUM(E$17:E71)=D$10,F71,D$10-SUM(E$17:E71))</f>
        <v>0</v>
      </c>
      <c r="E72" s="492">
        <f t="shared" si="4"/>
        <v>0</v>
      </c>
      <c r="F72" s="491">
        <f t="shared" si="5"/>
        <v>0</v>
      </c>
      <c r="G72" s="545">
        <f t="shared" si="6"/>
        <v>0</v>
      </c>
      <c r="H72" s="436">
        <f t="shared" si="7"/>
        <v>0</v>
      </c>
      <c r="I72" s="494">
        <f t="shared" si="0"/>
        <v>0</v>
      </c>
      <c r="J72" s="476"/>
      <c r="K72" s="495"/>
      <c r="L72" s="496">
        <f t="shared" si="8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1692023.0000000002</v>
      </c>
      <c r="F73" s="348"/>
      <c r="G73" s="348">
        <f>SUM(G17:G72)</f>
        <v>6870316.1156360628</v>
      </c>
      <c r="H73" s="348">
        <f>SUM(H17:H72)</f>
        <v>6870316.1156360628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17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216741.56005757477</v>
      </c>
      <c r="N87" s="509">
        <f>IF(J92&lt;D11,0,VLOOKUP(J92,C17:O72,11))</f>
        <v>216741.56005757477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201969.47712497122</v>
      </c>
      <c r="N88" s="513">
        <f>IF(J92&lt;D11,0,VLOOKUP(J92,C99:P154,7))</f>
        <v>201969.47712497122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Grady Customer Connection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-14772.082932603545</v>
      </c>
      <c r="N89" s="518">
        <f>+N88-N87</f>
        <v>-14772.082932603545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TP2013002</v>
      </c>
      <c r="E91" s="523" t="str">
        <f>E9</f>
        <v xml:space="preserve">  SPP Project ID = 30748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610">
        <v>1692023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2015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41269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2015</v>
      </c>
      <c r="D99" s="585">
        <v>0</v>
      </c>
      <c r="E99" s="609">
        <v>0</v>
      </c>
      <c r="F99" s="585">
        <v>1625288</v>
      </c>
      <c r="G99" s="609">
        <v>812644</v>
      </c>
      <c r="H99" s="588">
        <v>110878.7398202499</v>
      </c>
      <c r="I99" s="608">
        <v>110878.7398202499</v>
      </c>
      <c r="J99" s="479">
        <f>+I99-H99</f>
        <v>0</v>
      </c>
      <c r="K99" s="479"/>
      <c r="L99" s="555">
        <f>+H99</f>
        <v>110878.7398202499</v>
      </c>
      <c r="M99" s="478">
        <f t="shared" ref="M99:M130" si="9">IF(L99&lt;&gt;0,+H99-L99,0)</f>
        <v>0</v>
      </c>
      <c r="N99" s="555">
        <f>+I99</f>
        <v>110878.7398202499</v>
      </c>
      <c r="O99" s="478">
        <f t="shared" ref="O99:O130" si="10">IF(N99&lt;&gt;0,+I99-N99,0)</f>
        <v>0</v>
      </c>
      <c r="P99" s="478">
        <f t="shared" ref="P99:P130" si="11">+O99-M99</f>
        <v>0</v>
      </c>
    </row>
    <row r="100" spans="1:16" ht="12.5">
      <c r="B100" s="160" t="str">
        <f>IF(D100=F99,"","IU")</f>
        <v>IU</v>
      </c>
      <c r="C100" s="473">
        <f>IF(D93="","-",+C99+1)</f>
        <v>2016</v>
      </c>
      <c r="D100" s="585">
        <v>1692023</v>
      </c>
      <c r="E100" s="586">
        <v>36783</v>
      </c>
      <c r="F100" s="587">
        <v>1655240</v>
      </c>
      <c r="G100" s="587">
        <v>1673631.5</v>
      </c>
      <c r="H100" s="607">
        <v>252540.45816220198</v>
      </c>
      <c r="I100" s="608">
        <v>252540.45816220198</v>
      </c>
      <c r="J100" s="479">
        <f>+I100-H100</f>
        <v>0</v>
      </c>
      <c r="K100" s="479"/>
      <c r="L100" s="477">
        <f>H100</f>
        <v>252540.45816220198</v>
      </c>
      <c r="M100" s="604">
        <f>IF(L100&lt;&gt;0,+H100-L100,0)</f>
        <v>0</v>
      </c>
      <c r="N100" s="477">
        <f>I100</f>
        <v>252540.45816220198</v>
      </c>
      <c r="O100" s="479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12">IF(D101=F100,"","IU")</f>
        <v/>
      </c>
      <c r="C101" s="473">
        <f>IF(D93="","-",+C100+1)</f>
        <v>2017</v>
      </c>
      <c r="D101" s="585">
        <v>1655240</v>
      </c>
      <c r="E101" s="586">
        <v>36783</v>
      </c>
      <c r="F101" s="587">
        <v>1618457</v>
      </c>
      <c r="G101" s="587">
        <v>1636848.5</v>
      </c>
      <c r="H101" s="607">
        <v>244421.35953995908</v>
      </c>
      <c r="I101" s="608">
        <v>244421.35953995908</v>
      </c>
      <c r="J101" s="479">
        <f t="shared" ref="J101:J154" si="13">+I101-H101</f>
        <v>0</v>
      </c>
      <c r="K101" s="479"/>
      <c r="L101" s="477">
        <f>H101</f>
        <v>244421.35953995908</v>
      </c>
      <c r="M101" s="604">
        <f>IF(L101&lt;&gt;0,+H101-L101,0)</f>
        <v>0</v>
      </c>
      <c r="N101" s="477">
        <f>I101</f>
        <v>244421.35953995908</v>
      </c>
      <c r="O101" s="479">
        <f>IF(N101&lt;&gt;0,+I101-N101,0)</f>
        <v>0</v>
      </c>
      <c r="P101" s="476">
        <f>+O101-M101</f>
        <v>0</v>
      </c>
    </row>
    <row r="102" spans="1:16" ht="12.5">
      <c r="B102" s="160" t="str">
        <f t="shared" si="12"/>
        <v/>
      </c>
      <c r="C102" s="473">
        <f>IF(D93="","-",+C101+1)</f>
        <v>2018</v>
      </c>
      <c r="D102" s="585">
        <v>1618457</v>
      </c>
      <c r="E102" s="586">
        <v>39349</v>
      </c>
      <c r="F102" s="587">
        <v>1579108</v>
      </c>
      <c r="G102" s="587">
        <v>1598782.5</v>
      </c>
      <c r="H102" s="607">
        <v>203600.82637045698</v>
      </c>
      <c r="I102" s="608">
        <v>203600.82637045698</v>
      </c>
      <c r="J102" s="479">
        <f t="shared" si="13"/>
        <v>0</v>
      </c>
      <c r="K102" s="479"/>
      <c r="L102" s="477">
        <f>H102</f>
        <v>203600.82637045698</v>
      </c>
      <c r="M102" s="604">
        <f>IF(L102&lt;&gt;0,+H102-L102,0)</f>
        <v>0</v>
      </c>
      <c r="N102" s="477">
        <f>I102</f>
        <v>203600.82637045698</v>
      </c>
      <c r="O102" s="479">
        <f>IF(N102&lt;&gt;0,+I102-N102,0)</f>
        <v>0</v>
      </c>
      <c r="P102" s="476">
        <f>+O102-M102</f>
        <v>0</v>
      </c>
    </row>
    <row r="103" spans="1:16" ht="12.5">
      <c r="B103" s="160" t="str">
        <f t="shared" si="12"/>
        <v/>
      </c>
      <c r="C103" s="473">
        <f>IF(D93="","-",+C102+1)</f>
        <v>2019</v>
      </c>
      <c r="D103" s="347">
        <f>IF(F102+SUM(E$99:E102)=D$92,F102,D$92-SUM(E$99:E102))</f>
        <v>1579108</v>
      </c>
      <c r="E103" s="485">
        <f t="shared" ref="E103:E154" si="14">IF(+J$96&lt;F102,J$96,D103)</f>
        <v>41269</v>
      </c>
      <c r="F103" s="486">
        <f t="shared" ref="F103:F154" si="15">+D103-E103</f>
        <v>1537839</v>
      </c>
      <c r="G103" s="486">
        <f t="shared" ref="G103:G154" si="16">+(F103+D103)/2</f>
        <v>1558473.5</v>
      </c>
      <c r="H103" s="489">
        <f t="shared" ref="H103:H154" si="17">+J$94*G103+E103</f>
        <v>201969.47712497122</v>
      </c>
      <c r="I103" s="543">
        <f t="shared" ref="I103:I154" si="18">+J$95*G103+E103</f>
        <v>201969.47712497122</v>
      </c>
      <c r="J103" s="479">
        <f t="shared" si="13"/>
        <v>0</v>
      </c>
      <c r="K103" s="479"/>
      <c r="L103" s="488"/>
      <c r="M103" s="479">
        <f t="shared" si="9"/>
        <v>0</v>
      </c>
      <c r="N103" s="488"/>
      <c r="O103" s="479">
        <f t="shared" si="10"/>
        <v>0</v>
      </c>
      <c r="P103" s="479">
        <f t="shared" si="11"/>
        <v>0</v>
      </c>
    </row>
    <row r="104" spans="1:16" ht="12.5">
      <c r="B104" s="160" t="str">
        <f t="shared" si="12"/>
        <v/>
      </c>
      <c r="C104" s="473">
        <f>IF(D93="","-",+C103+1)</f>
        <v>2020</v>
      </c>
      <c r="D104" s="347">
        <f>IF(F103+SUM(E$99:E103)=D$92,F103,D$92-SUM(E$99:E103))</f>
        <v>1537839</v>
      </c>
      <c r="E104" s="485">
        <f t="shared" si="14"/>
        <v>41269</v>
      </c>
      <c r="F104" s="486">
        <f t="shared" si="15"/>
        <v>1496570</v>
      </c>
      <c r="G104" s="486">
        <f t="shared" si="16"/>
        <v>1517204.5</v>
      </c>
      <c r="H104" s="489">
        <f t="shared" si="17"/>
        <v>197714.0643826497</v>
      </c>
      <c r="I104" s="543">
        <f t="shared" si="18"/>
        <v>197714.0643826497</v>
      </c>
      <c r="J104" s="479">
        <f t="shared" si="13"/>
        <v>0</v>
      </c>
      <c r="K104" s="479"/>
      <c r="L104" s="488"/>
      <c r="M104" s="479">
        <f t="shared" si="9"/>
        <v>0</v>
      </c>
      <c r="N104" s="488"/>
      <c r="O104" s="479">
        <f t="shared" si="10"/>
        <v>0</v>
      </c>
      <c r="P104" s="479">
        <f t="shared" si="11"/>
        <v>0</v>
      </c>
    </row>
    <row r="105" spans="1:16" ht="12.5">
      <c r="B105" s="160" t="str">
        <f t="shared" si="12"/>
        <v/>
      </c>
      <c r="C105" s="473">
        <f>IF(D93="","-",+C104+1)</f>
        <v>2021</v>
      </c>
      <c r="D105" s="347">
        <f>IF(F104+SUM(E$99:E104)=D$92,F104,D$92-SUM(E$99:E104))</f>
        <v>1496570</v>
      </c>
      <c r="E105" s="485">
        <f t="shared" si="14"/>
        <v>41269</v>
      </c>
      <c r="F105" s="486">
        <f t="shared" si="15"/>
        <v>1455301</v>
      </c>
      <c r="G105" s="486">
        <f t="shared" si="16"/>
        <v>1475935.5</v>
      </c>
      <c r="H105" s="489">
        <f t="shared" si="17"/>
        <v>193458.65164032814</v>
      </c>
      <c r="I105" s="543">
        <f t="shared" si="18"/>
        <v>193458.65164032814</v>
      </c>
      <c r="J105" s="479">
        <f t="shared" si="13"/>
        <v>0</v>
      </c>
      <c r="K105" s="479"/>
      <c r="L105" s="488"/>
      <c r="M105" s="479">
        <f t="shared" si="9"/>
        <v>0</v>
      </c>
      <c r="N105" s="488"/>
      <c r="O105" s="479">
        <f t="shared" si="10"/>
        <v>0</v>
      </c>
      <c r="P105" s="479">
        <f t="shared" si="11"/>
        <v>0</v>
      </c>
    </row>
    <row r="106" spans="1:16" ht="12.5">
      <c r="B106" s="160" t="str">
        <f t="shared" si="12"/>
        <v/>
      </c>
      <c r="C106" s="473">
        <f>IF(D93="","-",+C105+1)</f>
        <v>2022</v>
      </c>
      <c r="D106" s="347">
        <f>IF(F105+SUM(E$99:E105)=D$92,F105,D$92-SUM(E$99:E105))</f>
        <v>1455301</v>
      </c>
      <c r="E106" s="485">
        <f t="shared" si="14"/>
        <v>41269</v>
      </c>
      <c r="F106" s="486">
        <f t="shared" si="15"/>
        <v>1414032</v>
      </c>
      <c r="G106" s="486">
        <f t="shared" si="16"/>
        <v>1434666.5</v>
      </c>
      <c r="H106" s="489">
        <f t="shared" si="17"/>
        <v>189203.23889800662</v>
      </c>
      <c r="I106" s="543">
        <f t="shared" si="18"/>
        <v>189203.23889800662</v>
      </c>
      <c r="J106" s="479">
        <f t="shared" si="13"/>
        <v>0</v>
      </c>
      <c r="K106" s="479"/>
      <c r="L106" s="488"/>
      <c r="M106" s="479">
        <f t="shared" si="9"/>
        <v>0</v>
      </c>
      <c r="N106" s="488"/>
      <c r="O106" s="479">
        <f t="shared" si="10"/>
        <v>0</v>
      </c>
      <c r="P106" s="479">
        <f t="shared" si="11"/>
        <v>0</v>
      </c>
    </row>
    <row r="107" spans="1:16" ht="12.5">
      <c r="B107" s="160" t="str">
        <f t="shared" si="12"/>
        <v/>
      </c>
      <c r="C107" s="473">
        <f>IF(D93="","-",+C106+1)</f>
        <v>2023</v>
      </c>
      <c r="D107" s="347">
        <f>IF(F106+SUM(E$99:E106)=D$92,F106,D$92-SUM(E$99:E106))</f>
        <v>1414032</v>
      </c>
      <c r="E107" s="485">
        <f t="shared" si="14"/>
        <v>41269</v>
      </c>
      <c r="F107" s="486">
        <f t="shared" si="15"/>
        <v>1372763</v>
      </c>
      <c r="G107" s="486">
        <f t="shared" si="16"/>
        <v>1393397.5</v>
      </c>
      <c r="H107" s="489">
        <f t="shared" si="17"/>
        <v>184947.82615568509</v>
      </c>
      <c r="I107" s="543">
        <f t="shared" si="18"/>
        <v>184947.82615568509</v>
      </c>
      <c r="J107" s="479">
        <f t="shared" si="13"/>
        <v>0</v>
      </c>
      <c r="K107" s="479"/>
      <c r="L107" s="488"/>
      <c r="M107" s="479">
        <f t="shared" si="9"/>
        <v>0</v>
      </c>
      <c r="N107" s="488"/>
      <c r="O107" s="479">
        <f t="shared" si="10"/>
        <v>0</v>
      </c>
      <c r="P107" s="479">
        <f t="shared" si="11"/>
        <v>0</v>
      </c>
    </row>
    <row r="108" spans="1:16" ht="12.5">
      <c r="B108" s="160" t="str">
        <f t="shared" si="12"/>
        <v/>
      </c>
      <c r="C108" s="473">
        <f>IF(D93="","-",+C107+1)</f>
        <v>2024</v>
      </c>
      <c r="D108" s="347">
        <f>IF(F107+SUM(E$99:E107)=D$92,F107,D$92-SUM(E$99:E107))</f>
        <v>1372763</v>
      </c>
      <c r="E108" s="485">
        <f t="shared" si="14"/>
        <v>41269</v>
      </c>
      <c r="F108" s="486">
        <f t="shared" si="15"/>
        <v>1331494</v>
      </c>
      <c r="G108" s="486">
        <f t="shared" si="16"/>
        <v>1352128.5</v>
      </c>
      <c r="H108" s="489">
        <f t="shared" si="17"/>
        <v>180692.41341336357</v>
      </c>
      <c r="I108" s="543">
        <f t="shared" si="18"/>
        <v>180692.41341336357</v>
      </c>
      <c r="J108" s="479">
        <f t="shared" si="13"/>
        <v>0</v>
      </c>
      <c r="K108" s="479"/>
      <c r="L108" s="488"/>
      <c r="M108" s="479">
        <f t="shared" si="9"/>
        <v>0</v>
      </c>
      <c r="N108" s="488"/>
      <c r="O108" s="479">
        <f t="shared" si="10"/>
        <v>0</v>
      </c>
      <c r="P108" s="479">
        <f t="shared" si="11"/>
        <v>0</v>
      </c>
    </row>
    <row r="109" spans="1:16" ht="12.5">
      <c r="B109" s="160" t="str">
        <f t="shared" si="12"/>
        <v/>
      </c>
      <c r="C109" s="473">
        <f>IF(D93="","-",+C108+1)</f>
        <v>2025</v>
      </c>
      <c r="D109" s="347">
        <f>IF(F108+SUM(E$99:E108)=D$92,F108,D$92-SUM(E$99:E108))</f>
        <v>1331494</v>
      </c>
      <c r="E109" s="485">
        <f t="shared" si="14"/>
        <v>41269</v>
      </c>
      <c r="F109" s="486">
        <f t="shared" si="15"/>
        <v>1290225</v>
      </c>
      <c r="G109" s="486">
        <f t="shared" si="16"/>
        <v>1310859.5</v>
      </c>
      <c r="H109" s="489">
        <f t="shared" si="17"/>
        <v>176437.00067104201</v>
      </c>
      <c r="I109" s="543">
        <f t="shared" si="18"/>
        <v>176437.00067104201</v>
      </c>
      <c r="J109" s="479">
        <f t="shared" si="13"/>
        <v>0</v>
      </c>
      <c r="K109" s="479"/>
      <c r="L109" s="488"/>
      <c r="M109" s="479">
        <f t="shared" si="9"/>
        <v>0</v>
      </c>
      <c r="N109" s="488"/>
      <c r="O109" s="479">
        <f t="shared" si="10"/>
        <v>0</v>
      </c>
      <c r="P109" s="479">
        <f t="shared" si="11"/>
        <v>0</v>
      </c>
    </row>
    <row r="110" spans="1:16" ht="12.5">
      <c r="B110" s="160" t="str">
        <f t="shared" si="12"/>
        <v/>
      </c>
      <c r="C110" s="473">
        <f>IF(D93="","-",+C109+1)</f>
        <v>2026</v>
      </c>
      <c r="D110" s="347">
        <f>IF(F109+SUM(E$99:E109)=D$92,F109,D$92-SUM(E$99:E109))</f>
        <v>1290225</v>
      </c>
      <c r="E110" s="485">
        <f t="shared" si="14"/>
        <v>41269</v>
      </c>
      <c r="F110" s="486">
        <f t="shared" si="15"/>
        <v>1248956</v>
      </c>
      <c r="G110" s="486">
        <f t="shared" si="16"/>
        <v>1269590.5</v>
      </c>
      <c r="H110" s="489">
        <f t="shared" si="17"/>
        <v>172181.58792872049</v>
      </c>
      <c r="I110" s="543">
        <f t="shared" si="18"/>
        <v>172181.58792872049</v>
      </c>
      <c r="J110" s="479">
        <f t="shared" si="13"/>
        <v>0</v>
      </c>
      <c r="K110" s="479"/>
      <c r="L110" s="488"/>
      <c r="M110" s="479">
        <f t="shared" si="9"/>
        <v>0</v>
      </c>
      <c r="N110" s="488"/>
      <c r="O110" s="479">
        <f t="shared" si="10"/>
        <v>0</v>
      </c>
      <c r="P110" s="479">
        <f t="shared" si="11"/>
        <v>0</v>
      </c>
    </row>
    <row r="111" spans="1:16" ht="12.5">
      <c r="B111" s="160" t="str">
        <f t="shared" si="12"/>
        <v/>
      </c>
      <c r="C111" s="473">
        <f>IF(D93="","-",+C110+1)</f>
        <v>2027</v>
      </c>
      <c r="D111" s="347">
        <f>IF(F110+SUM(E$99:E110)=D$92,F110,D$92-SUM(E$99:E110))</f>
        <v>1248956</v>
      </c>
      <c r="E111" s="485">
        <f t="shared" si="14"/>
        <v>41269</v>
      </c>
      <c r="F111" s="486">
        <f t="shared" si="15"/>
        <v>1207687</v>
      </c>
      <c r="G111" s="486">
        <f t="shared" si="16"/>
        <v>1228321.5</v>
      </c>
      <c r="H111" s="489">
        <f t="shared" si="17"/>
        <v>167926.17518639896</v>
      </c>
      <c r="I111" s="543">
        <f t="shared" si="18"/>
        <v>167926.17518639896</v>
      </c>
      <c r="J111" s="479">
        <f t="shared" si="13"/>
        <v>0</v>
      </c>
      <c r="K111" s="479"/>
      <c r="L111" s="488"/>
      <c r="M111" s="479">
        <f t="shared" si="9"/>
        <v>0</v>
      </c>
      <c r="N111" s="488"/>
      <c r="O111" s="479">
        <f t="shared" si="10"/>
        <v>0</v>
      </c>
      <c r="P111" s="479">
        <f t="shared" si="11"/>
        <v>0</v>
      </c>
    </row>
    <row r="112" spans="1:16" ht="12.5">
      <c r="B112" s="160" t="str">
        <f t="shared" si="12"/>
        <v/>
      </c>
      <c r="C112" s="473">
        <f>IF(D93="","-",+C111+1)</f>
        <v>2028</v>
      </c>
      <c r="D112" s="347">
        <f>IF(F111+SUM(E$99:E111)=D$92,F111,D$92-SUM(E$99:E111))</f>
        <v>1207687</v>
      </c>
      <c r="E112" s="485">
        <f t="shared" si="14"/>
        <v>41269</v>
      </c>
      <c r="F112" s="486">
        <f t="shared" si="15"/>
        <v>1166418</v>
      </c>
      <c r="G112" s="486">
        <f t="shared" si="16"/>
        <v>1187052.5</v>
      </c>
      <c r="H112" s="489">
        <f t="shared" si="17"/>
        <v>163670.76244407741</v>
      </c>
      <c r="I112" s="543">
        <f t="shared" si="18"/>
        <v>163670.76244407741</v>
      </c>
      <c r="J112" s="479">
        <f t="shared" si="13"/>
        <v>0</v>
      </c>
      <c r="K112" s="479"/>
      <c r="L112" s="488"/>
      <c r="M112" s="479">
        <f t="shared" si="9"/>
        <v>0</v>
      </c>
      <c r="N112" s="488"/>
      <c r="O112" s="479">
        <f t="shared" si="10"/>
        <v>0</v>
      </c>
      <c r="P112" s="479">
        <f t="shared" si="11"/>
        <v>0</v>
      </c>
    </row>
    <row r="113" spans="2:16" ht="12.5">
      <c r="B113" s="160" t="str">
        <f t="shared" si="12"/>
        <v/>
      </c>
      <c r="C113" s="473">
        <f>IF(D93="","-",+C112+1)</f>
        <v>2029</v>
      </c>
      <c r="D113" s="347">
        <f>IF(F112+SUM(E$99:E112)=D$92,F112,D$92-SUM(E$99:E112))</f>
        <v>1166418</v>
      </c>
      <c r="E113" s="485">
        <f t="shared" si="14"/>
        <v>41269</v>
      </c>
      <c r="F113" s="486">
        <f t="shared" si="15"/>
        <v>1125149</v>
      </c>
      <c r="G113" s="486">
        <f t="shared" si="16"/>
        <v>1145783.5</v>
      </c>
      <c r="H113" s="489">
        <f t="shared" si="17"/>
        <v>159415.34970175588</v>
      </c>
      <c r="I113" s="543">
        <f t="shared" si="18"/>
        <v>159415.34970175588</v>
      </c>
      <c r="J113" s="479">
        <f t="shared" si="13"/>
        <v>0</v>
      </c>
      <c r="K113" s="479"/>
      <c r="L113" s="488"/>
      <c r="M113" s="479">
        <f t="shared" si="9"/>
        <v>0</v>
      </c>
      <c r="N113" s="488"/>
      <c r="O113" s="479">
        <f t="shared" si="10"/>
        <v>0</v>
      </c>
      <c r="P113" s="479">
        <f t="shared" si="11"/>
        <v>0</v>
      </c>
    </row>
    <row r="114" spans="2:16" ht="12.5">
      <c r="B114" s="160" t="str">
        <f t="shared" si="12"/>
        <v/>
      </c>
      <c r="C114" s="473">
        <f>IF(D93="","-",+C113+1)</f>
        <v>2030</v>
      </c>
      <c r="D114" s="347">
        <f>IF(F113+SUM(E$99:E113)=D$92,F113,D$92-SUM(E$99:E113))</f>
        <v>1125149</v>
      </c>
      <c r="E114" s="485">
        <f t="shared" si="14"/>
        <v>41269</v>
      </c>
      <c r="F114" s="486">
        <f t="shared" si="15"/>
        <v>1083880</v>
      </c>
      <c r="G114" s="486">
        <f t="shared" si="16"/>
        <v>1104514.5</v>
      </c>
      <c r="H114" s="489">
        <f t="shared" si="17"/>
        <v>155159.93695943436</v>
      </c>
      <c r="I114" s="543">
        <f t="shared" si="18"/>
        <v>155159.93695943436</v>
      </c>
      <c r="J114" s="479">
        <f t="shared" si="13"/>
        <v>0</v>
      </c>
      <c r="K114" s="479"/>
      <c r="L114" s="488"/>
      <c r="M114" s="479">
        <f t="shared" si="9"/>
        <v>0</v>
      </c>
      <c r="N114" s="488"/>
      <c r="O114" s="479">
        <f t="shared" si="10"/>
        <v>0</v>
      </c>
      <c r="P114" s="479">
        <f t="shared" si="11"/>
        <v>0</v>
      </c>
    </row>
    <row r="115" spans="2:16" ht="12.5">
      <c r="B115" s="160" t="str">
        <f t="shared" si="12"/>
        <v/>
      </c>
      <c r="C115" s="473">
        <f>IF(D93="","-",+C114+1)</f>
        <v>2031</v>
      </c>
      <c r="D115" s="347">
        <f>IF(F114+SUM(E$99:E114)=D$92,F114,D$92-SUM(E$99:E114))</f>
        <v>1083880</v>
      </c>
      <c r="E115" s="485">
        <f t="shared" si="14"/>
        <v>41269</v>
      </c>
      <c r="F115" s="486">
        <f t="shared" si="15"/>
        <v>1042611</v>
      </c>
      <c r="G115" s="486">
        <f t="shared" si="16"/>
        <v>1063245.5</v>
      </c>
      <c r="H115" s="489">
        <f t="shared" si="17"/>
        <v>150904.5242171128</v>
      </c>
      <c r="I115" s="543">
        <f t="shared" si="18"/>
        <v>150904.5242171128</v>
      </c>
      <c r="J115" s="479">
        <f t="shared" si="13"/>
        <v>0</v>
      </c>
      <c r="K115" s="479"/>
      <c r="L115" s="488"/>
      <c r="M115" s="479">
        <f t="shared" si="9"/>
        <v>0</v>
      </c>
      <c r="N115" s="488"/>
      <c r="O115" s="479">
        <f t="shared" si="10"/>
        <v>0</v>
      </c>
      <c r="P115" s="479">
        <f t="shared" si="11"/>
        <v>0</v>
      </c>
    </row>
    <row r="116" spans="2:16" ht="12.5">
      <c r="B116" s="160" t="str">
        <f t="shared" si="12"/>
        <v/>
      </c>
      <c r="C116" s="473">
        <f>IF(D93="","-",+C115+1)</f>
        <v>2032</v>
      </c>
      <c r="D116" s="347">
        <f>IF(F115+SUM(E$99:E115)=D$92,F115,D$92-SUM(E$99:E115))</f>
        <v>1042611</v>
      </c>
      <c r="E116" s="485">
        <f t="shared" si="14"/>
        <v>41269</v>
      </c>
      <c r="F116" s="486">
        <f t="shared" si="15"/>
        <v>1001342</v>
      </c>
      <c r="G116" s="486">
        <f t="shared" si="16"/>
        <v>1021976.5</v>
      </c>
      <c r="H116" s="489">
        <f t="shared" si="17"/>
        <v>146649.11147479131</v>
      </c>
      <c r="I116" s="543">
        <f t="shared" si="18"/>
        <v>146649.11147479131</v>
      </c>
      <c r="J116" s="479">
        <f t="shared" si="13"/>
        <v>0</v>
      </c>
      <c r="K116" s="479"/>
      <c r="L116" s="488"/>
      <c r="M116" s="479">
        <f t="shared" si="9"/>
        <v>0</v>
      </c>
      <c r="N116" s="488"/>
      <c r="O116" s="479">
        <f t="shared" si="10"/>
        <v>0</v>
      </c>
      <c r="P116" s="479">
        <f t="shared" si="11"/>
        <v>0</v>
      </c>
    </row>
    <row r="117" spans="2:16" ht="12.5">
      <c r="B117" s="160" t="str">
        <f t="shared" si="12"/>
        <v/>
      </c>
      <c r="C117" s="473">
        <f>IF(D93="","-",+C116+1)</f>
        <v>2033</v>
      </c>
      <c r="D117" s="347">
        <f>IF(F116+SUM(E$99:E116)=D$92,F116,D$92-SUM(E$99:E116))</f>
        <v>1001342</v>
      </c>
      <c r="E117" s="485">
        <f t="shared" si="14"/>
        <v>41269</v>
      </c>
      <c r="F117" s="486">
        <f t="shared" si="15"/>
        <v>960073</v>
      </c>
      <c r="G117" s="486">
        <f t="shared" si="16"/>
        <v>980707.5</v>
      </c>
      <c r="H117" s="489">
        <f t="shared" si="17"/>
        <v>142393.69873246975</v>
      </c>
      <c r="I117" s="543">
        <f t="shared" si="18"/>
        <v>142393.69873246975</v>
      </c>
      <c r="J117" s="479">
        <f t="shared" si="13"/>
        <v>0</v>
      </c>
      <c r="K117" s="479"/>
      <c r="L117" s="488"/>
      <c r="M117" s="479">
        <f t="shared" si="9"/>
        <v>0</v>
      </c>
      <c r="N117" s="488"/>
      <c r="O117" s="479">
        <f t="shared" si="10"/>
        <v>0</v>
      </c>
      <c r="P117" s="479">
        <f t="shared" si="11"/>
        <v>0</v>
      </c>
    </row>
    <row r="118" spans="2:16" ht="12.5">
      <c r="B118" s="160" t="str">
        <f t="shared" si="12"/>
        <v/>
      </c>
      <c r="C118" s="473">
        <f>IF(D93="","-",+C117+1)</f>
        <v>2034</v>
      </c>
      <c r="D118" s="347">
        <f>IF(F117+SUM(E$99:E117)=D$92,F117,D$92-SUM(E$99:E117))</f>
        <v>960073</v>
      </c>
      <c r="E118" s="485">
        <f t="shared" si="14"/>
        <v>41269</v>
      </c>
      <c r="F118" s="486">
        <f t="shared" si="15"/>
        <v>918804</v>
      </c>
      <c r="G118" s="486">
        <f t="shared" si="16"/>
        <v>939438.5</v>
      </c>
      <c r="H118" s="489">
        <f t="shared" si="17"/>
        <v>138138.28599014823</v>
      </c>
      <c r="I118" s="543">
        <f t="shared" si="18"/>
        <v>138138.28599014823</v>
      </c>
      <c r="J118" s="479">
        <f t="shared" si="13"/>
        <v>0</v>
      </c>
      <c r="K118" s="479"/>
      <c r="L118" s="488"/>
      <c r="M118" s="479">
        <f t="shared" si="9"/>
        <v>0</v>
      </c>
      <c r="N118" s="488"/>
      <c r="O118" s="479">
        <f t="shared" si="10"/>
        <v>0</v>
      </c>
      <c r="P118" s="479">
        <f t="shared" si="11"/>
        <v>0</v>
      </c>
    </row>
    <row r="119" spans="2:16" ht="12.5">
      <c r="B119" s="160" t="str">
        <f t="shared" si="12"/>
        <v/>
      </c>
      <c r="C119" s="473">
        <f>IF(D93="","-",+C118+1)</f>
        <v>2035</v>
      </c>
      <c r="D119" s="347">
        <f>IF(F118+SUM(E$99:E118)=D$92,F118,D$92-SUM(E$99:E118))</f>
        <v>918804</v>
      </c>
      <c r="E119" s="485">
        <f t="shared" si="14"/>
        <v>41269</v>
      </c>
      <c r="F119" s="486">
        <f t="shared" si="15"/>
        <v>877535</v>
      </c>
      <c r="G119" s="486">
        <f t="shared" si="16"/>
        <v>898169.5</v>
      </c>
      <c r="H119" s="489">
        <f t="shared" si="17"/>
        <v>133882.8732478267</v>
      </c>
      <c r="I119" s="543">
        <f t="shared" si="18"/>
        <v>133882.8732478267</v>
      </c>
      <c r="J119" s="479">
        <f t="shared" si="13"/>
        <v>0</v>
      </c>
      <c r="K119" s="479"/>
      <c r="L119" s="488"/>
      <c r="M119" s="479">
        <f t="shared" si="9"/>
        <v>0</v>
      </c>
      <c r="N119" s="488"/>
      <c r="O119" s="479">
        <f t="shared" si="10"/>
        <v>0</v>
      </c>
      <c r="P119" s="479">
        <f t="shared" si="11"/>
        <v>0</v>
      </c>
    </row>
    <row r="120" spans="2:16" ht="12.5">
      <c r="B120" s="160" t="str">
        <f t="shared" si="12"/>
        <v/>
      </c>
      <c r="C120" s="473">
        <f>IF(D93="","-",+C119+1)</f>
        <v>2036</v>
      </c>
      <c r="D120" s="347">
        <f>IF(F119+SUM(E$99:E119)=D$92,F119,D$92-SUM(E$99:E119))</f>
        <v>877535</v>
      </c>
      <c r="E120" s="485">
        <f t="shared" si="14"/>
        <v>41269</v>
      </c>
      <c r="F120" s="486">
        <f t="shared" si="15"/>
        <v>836266</v>
      </c>
      <c r="G120" s="486">
        <f t="shared" si="16"/>
        <v>856900.5</v>
      </c>
      <c r="H120" s="489">
        <f t="shared" si="17"/>
        <v>129627.46050550517</v>
      </c>
      <c r="I120" s="543">
        <f t="shared" si="18"/>
        <v>129627.46050550517</v>
      </c>
      <c r="J120" s="479">
        <f t="shared" si="13"/>
        <v>0</v>
      </c>
      <c r="K120" s="479"/>
      <c r="L120" s="488"/>
      <c r="M120" s="479">
        <f t="shared" si="9"/>
        <v>0</v>
      </c>
      <c r="N120" s="488"/>
      <c r="O120" s="479">
        <f t="shared" si="10"/>
        <v>0</v>
      </c>
      <c r="P120" s="479">
        <f t="shared" si="11"/>
        <v>0</v>
      </c>
    </row>
    <row r="121" spans="2:16" ht="12.5">
      <c r="B121" s="160" t="str">
        <f t="shared" si="12"/>
        <v/>
      </c>
      <c r="C121" s="473">
        <f>IF(D93="","-",+C120+1)</f>
        <v>2037</v>
      </c>
      <c r="D121" s="347">
        <f>IF(F120+SUM(E$99:E120)=D$92,F120,D$92-SUM(E$99:E120))</f>
        <v>836266</v>
      </c>
      <c r="E121" s="485">
        <f t="shared" si="14"/>
        <v>41269</v>
      </c>
      <c r="F121" s="486">
        <f t="shared" si="15"/>
        <v>794997</v>
      </c>
      <c r="G121" s="486">
        <f t="shared" si="16"/>
        <v>815631.5</v>
      </c>
      <c r="H121" s="489">
        <f t="shared" si="17"/>
        <v>125372.04776318363</v>
      </c>
      <c r="I121" s="543">
        <f t="shared" si="18"/>
        <v>125372.04776318363</v>
      </c>
      <c r="J121" s="479">
        <f t="shared" si="13"/>
        <v>0</v>
      </c>
      <c r="K121" s="479"/>
      <c r="L121" s="488"/>
      <c r="M121" s="479">
        <f t="shared" si="9"/>
        <v>0</v>
      </c>
      <c r="N121" s="488"/>
      <c r="O121" s="479">
        <f t="shared" si="10"/>
        <v>0</v>
      </c>
      <c r="P121" s="479">
        <f t="shared" si="11"/>
        <v>0</v>
      </c>
    </row>
    <row r="122" spans="2:16" ht="12.5">
      <c r="B122" s="160" t="str">
        <f t="shared" si="12"/>
        <v/>
      </c>
      <c r="C122" s="473">
        <f>IF(D93="","-",+C121+1)</f>
        <v>2038</v>
      </c>
      <c r="D122" s="347">
        <f>IF(F121+SUM(E$99:E121)=D$92,F121,D$92-SUM(E$99:E121))</f>
        <v>794997</v>
      </c>
      <c r="E122" s="485">
        <f t="shared" si="14"/>
        <v>41269</v>
      </c>
      <c r="F122" s="486">
        <f t="shared" si="15"/>
        <v>753728</v>
      </c>
      <c r="G122" s="486">
        <f t="shared" si="16"/>
        <v>774362.5</v>
      </c>
      <c r="H122" s="489">
        <f t="shared" si="17"/>
        <v>121116.6350208621</v>
      </c>
      <c r="I122" s="543">
        <f t="shared" si="18"/>
        <v>121116.6350208621</v>
      </c>
      <c r="J122" s="479">
        <f t="shared" si="13"/>
        <v>0</v>
      </c>
      <c r="K122" s="479"/>
      <c r="L122" s="488"/>
      <c r="M122" s="479">
        <f t="shared" si="9"/>
        <v>0</v>
      </c>
      <c r="N122" s="488"/>
      <c r="O122" s="479">
        <f t="shared" si="10"/>
        <v>0</v>
      </c>
      <c r="P122" s="479">
        <f t="shared" si="11"/>
        <v>0</v>
      </c>
    </row>
    <row r="123" spans="2:16" ht="12.5">
      <c r="B123" s="160" t="str">
        <f t="shared" si="12"/>
        <v/>
      </c>
      <c r="C123" s="473">
        <f>IF(D93="","-",+C122+1)</f>
        <v>2039</v>
      </c>
      <c r="D123" s="347">
        <f>IF(F122+SUM(E$99:E122)=D$92,F122,D$92-SUM(E$99:E122))</f>
        <v>753728</v>
      </c>
      <c r="E123" s="485">
        <f t="shared" si="14"/>
        <v>41269</v>
      </c>
      <c r="F123" s="486">
        <f t="shared" si="15"/>
        <v>712459</v>
      </c>
      <c r="G123" s="486">
        <f t="shared" si="16"/>
        <v>733093.5</v>
      </c>
      <c r="H123" s="489">
        <f t="shared" si="17"/>
        <v>116861.22227854056</v>
      </c>
      <c r="I123" s="543">
        <f t="shared" si="18"/>
        <v>116861.22227854056</v>
      </c>
      <c r="J123" s="479">
        <f t="shared" si="13"/>
        <v>0</v>
      </c>
      <c r="K123" s="479"/>
      <c r="L123" s="488"/>
      <c r="M123" s="479">
        <f t="shared" si="9"/>
        <v>0</v>
      </c>
      <c r="N123" s="488"/>
      <c r="O123" s="479">
        <f t="shared" si="10"/>
        <v>0</v>
      </c>
      <c r="P123" s="479">
        <f t="shared" si="11"/>
        <v>0</v>
      </c>
    </row>
    <row r="124" spans="2:16" ht="12.5">
      <c r="B124" s="160" t="str">
        <f t="shared" si="12"/>
        <v/>
      </c>
      <c r="C124" s="473">
        <f>IF(D93="","-",+C123+1)</f>
        <v>2040</v>
      </c>
      <c r="D124" s="347">
        <f>IF(F123+SUM(E$99:E123)=D$92,F123,D$92-SUM(E$99:E123))</f>
        <v>712459</v>
      </c>
      <c r="E124" s="485">
        <f t="shared" si="14"/>
        <v>41269</v>
      </c>
      <c r="F124" s="486">
        <f t="shared" si="15"/>
        <v>671190</v>
      </c>
      <c r="G124" s="486">
        <f t="shared" si="16"/>
        <v>691824.5</v>
      </c>
      <c r="H124" s="489">
        <f t="shared" si="17"/>
        <v>112605.80953621904</v>
      </c>
      <c r="I124" s="543">
        <f t="shared" si="18"/>
        <v>112605.80953621904</v>
      </c>
      <c r="J124" s="479">
        <f t="shared" si="13"/>
        <v>0</v>
      </c>
      <c r="K124" s="479"/>
      <c r="L124" s="488"/>
      <c r="M124" s="479">
        <f t="shared" si="9"/>
        <v>0</v>
      </c>
      <c r="N124" s="488"/>
      <c r="O124" s="479">
        <f t="shared" si="10"/>
        <v>0</v>
      </c>
      <c r="P124" s="479">
        <f t="shared" si="11"/>
        <v>0</v>
      </c>
    </row>
    <row r="125" spans="2:16" ht="12.5">
      <c r="B125" s="160" t="str">
        <f t="shared" si="12"/>
        <v/>
      </c>
      <c r="C125" s="473">
        <f>IF(D93="","-",+C124+1)</f>
        <v>2041</v>
      </c>
      <c r="D125" s="347">
        <f>IF(F124+SUM(E$99:E124)=D$92,F124,D$92-SUM(E$99:E124))</f>
        <v>671190</v>
      </c>
      <c r="E125" s="485">
        <f t="shared" si="14"/>
        <v>41269</v>
      </c>
      <c r="F125" s="486">
        <f t="shared" si="15"/>
        <v>629921</v>
      </c>
      <c r="G125" s="486">
        <f t="shared" si="16"/>
        <v>650555.5</v>
      </c>
      <c r="H125" s="489">
        <f t="shared" si="17"/>
        <v>108350.3967938975</v>
      </c>
      <c r="I125" s="543">
        <f t="shared" si="18"/>
        <v>108350.3967938975</v>
      </c>
      <c r="J125" s="479">
        <f t="shared" si="13"/>
        <v>0</v>
      </c>
      <c r="K125" s="479"/>
      <c r="L125" s="488"/>
      <c r="M125" s="479">
        <f t="shared" si="9"/>
        <v>0</v>
      </c>
      <c r="N125" s="488"/>
      <c r="O125" s="479">
        <f t="shared" si="10"/>
        <v>0</v>
      </c>
      <c r="P125" s="479">
        <f t="shared" si="11"/>
        <v>0</v>
      </c>
    </row>
    <row r="126" spans="2:16" ht="12.5">
      <c r="B126" s="160" t="str">
        <f t="shared" si="12"/>
        <v/>
      </c>
      <c r="C126" s="473">
        <f>IF(D93="","-",+C125+1)</f>
        <v>2042</v>
      </c>
      <c r="D126" s="347">
        <f>IF(F125+SUM(E$99:E125)=D$92,F125,D$92-SUM(E$99:E125))</f>
        <v>629921</v>
      </c>
      <c r="E126" s="485">
        <f t="shared" si="14"/>
        <v>41269</v>
      </c>
      <c r="F126" s="486">
        <f t="shared" si="15"/>
        <v>588652</v>
      </c>
      <c r="G126" s="486">
        <f t="shared" si="16"/>
        <v>609286.5</v>
      </c>
      <c r="H126" s="489">
        <f t="shared" si="17"/>
        <v>104094.98405157597</v>
      </c>
      <c r="I126" s="543">
        <f t="shared" si="18"/>
        <v>104094.98405157597</v>
      </c>
      <c r="J126" s="479">
        <f t="shared" si="13"/>
        <v>0</v>
      </c>
      <c r="K126" s="479"/>
      <c r="L126" s="488"/>
      <c r="M126" s="479">
        <f t="shared" si="9"/>
        <v>0</v>
      </c>
      <c r="N126" s="488"/>
      <c r="O126" s="479">
        <f t="shared" si="10"/>
        <v>0</v>
      </c>
      <c r="P126" s="479">
        <f t="shared" si="11"/>
        <v>0</v>
      </c>
    </row>
    <row r="127" spans="2:16" ht="12.5">
      <c r="B127" s="160" t="str">
        <f t="shared" si="12"/>
        <v/>
      </c>
      <c r="C127" s="473">
        <f>IF(D93="","-",+C126+1)</f>
        <v>2043</v>
      </c>
      <c r="D127" s="347">
        <f>IF(F126+SUM(E$99:E126)=D$92,F126,D$92-SUM(E$99:E126))</f>
        <v>588652</v>
      </c>
      <c r="E127" s="485">
        <f t="shared" si="14"/>
        <v>41269</v>
      </c>
      <c r="F127" s="486">
        <f t="shared" si="15"/>
        <v>547383</v>
      </c>
      <c r="G127" s="486">
        <f t="shared" si="16"/>
        <v>568017.5</v>
      </c>
      <c r="H127" s="489">
        <f t="shared" si="17"/>
        <v>99839.571309254432</v>
      </c>
      <c r="I127" s="543">
        <f t="shared" si="18"/>
        <v>99839.571309254432</v>
      </c>
      <c r="J127" s="479">
        <f t="shared" si="13"/>
        <v>0</v>
      </c>
      <c r="K127" s="479"/>
      <c r="L127" s="488"/>
      <c r="M127" s="479">
        <f t="shared" si="9"/>
        <v>0</v>
      </c>
      <c r="N127" s="488"/>
      <c r="O127" s="479">
        <f t="shared" si="10"/>
        <v>0</v>
      </c>
      <c r="P127" s="479">
        <f t="shared" si="11"/>
        <v>0</v>
      </c>
    </row>
    <row r="128" spans="2:16" ht="12.5">
      <c r="B128" s="160" t="str">
        <f t="shared" si="12"/>
        <v/>
      </c>
      <c r="C128" s="473">
        <f>IF(D93="","-",+C127+1)</f>
        <v>2044</v>
      </c>
      <c r="D128" s="347">
        <f>IF(F127+SUM(E$99:E127)=D$92,F127,D$92-SUM(E$99:E127))</f>
        <v>547383</v>
      </c>
      <c r="E128" s="485">
        <f t="shared" si="14"/>
        <v>41269</v>
      </c>
      <c r="F128" s="486">
        <f t="shared" si="15"/>
        <v>506114</v>
      </c>
      <c r="G128" s="486">
        <f t="shared" si="16"/>
        <v>526748.5</v>
      </c>
      <c r="H128" s="489">
        <f t="shared" si="17"/>
        <v>95584.158566932892</v>
      </c>
      <c r="I128" s="543">
        <f t="shared" si="18"/>
        <v>95584.158566932892</v>
      </c>
      <c r="J128" s="479">
        <f t="shared" si="13"/>
        <v>0</v>
      </c>
      <c r="K128" s="479"/>
      <c r="L128" s="488"/>
      <c r="M128" s="479">
        <f t="shared" si="9"/>
        <v>0</v>
      </c>
      <c r="N128" s="488"/>
      <c r="O128" s="479">
        <f t="shared" si="10"/>
        <v>0</v>
      </c>
      <c r="P128" s="479">
        <f t="shared" si="11"/>
        <v>0</v>
      </c>
    </row>
    <row r="129" spans="2:16" ht="12.5">
      <c r="B129" s="160" t="str">
        <f t="shared" si="12"/>
        <v/>
      </c>
      <c r="C129" s="473">
        <f>IF(D93="","-",+C128+1)</f>
        <v>2045</v>
      </c>
      <c r="D129" s="347">
        <f>IF(F128+SUM(E$99:E128)=D$92,F128,D$92-SUM(E$99:E128))</f>
        <v>506114</v>
      </c>
      <c r="E129" s="485">
        <f t="shared" si="14"/>
        <v>41269</v>
      </c>
      <c r="F129" s="486">
        <f t="shared" si="15"/>
        <v>464845</v>
      </c>
      <c r="G129" s="486">
        <f t="shared" si="16"/>
        <v>485479.5</v>
      </c>
      <c r="H129" s="489">
        <f t="shared" si="17"/>
        <v>91328.745824611367</v>
      </c>
      <c r="I129" s="543">
        <f t="shared" si="18"/>
        <v>91328.745824611367</v>
      </c>
      <c r="J129" s="479">
        <f t="shared" si="13"/>
        <v>0</v>
      </c>
      <c r="K129" s="479"/>
      <c r="L129" s="488"/>
      <c r="M129" s="479">
        <f t="shared" si="9"/>
        <v>0</v>
      </c>
      <c r="N129" s="488"/>
      <c r="O129" s="479">
        <f t="shared" si="10"/>
        <v>0</v>
      </c>
      <c r="P129" s="479">
        <f t="shared" si="11"/>
        <v>0</v>
      </c>
    </row>
    <row r="130" spans="2:16" ht="12.5">
      <c r="B130" s="160" t="str">
        <f t="shared" si="12"/>
        <v/>
      </c>
      <c r="C130" s="473">
        <f>IF(D93="","-",+C129+1)</f>
        <v>2046</v>
      </c>
      <c r="D130" s="347">
        <f>IF(F129+SUM(E$99:E129)=D$92,F129,D$92-SUM(E$99:E129))</f>
        <v>464845</v>
      </c>
      <c r="E130" s="485">
        <f t="shared" si="14"/>
        <v>41269</v>
      </c>
      <c r="F130" s="486">
        <f t="shared" si="15"/>
        <v>423576</v>
      </c>
      <c r="G130" s="486">
        <f t="shared" si="16"/>
        <v>444210.5</v>
      </c>
      <c r="H130" s="489">
        <f t="shared" si="17"/>
        <v>87073.333082289842</v>
      </c>
      <c r="I130" s="543">
        <f t="shared" si="18"/>
        <v>87073.333082289842</v>
      </c>
      <c r="J130" s="479">
        <f t="shared" si="13"/>
        <v>0</v>
      </c>
      <c r="K130" s="479"/>
      <c r="L130" s="488"/>
      <c r="M130" s="479">
        <f t="shared" si="9"/>
        <v>0</v>
      </c>
      <c r="N130" s="488"/>
      <c r="O130" s="479">
        <f t="shared" si="10"/>
        <v>0</v>
      </c>
      <c r="P130" s="479">
        <f t="shared" si="11"/>
        <v>0</v>
      </c>
    </row>
    <row r="131" spans="2:16" ht="12.5">
      <c r="B131" s="160" t="str">
        <f t="shared" si="12"/>
        <v/>
      </c>
      <c r="C131" s="473">
        <f>IF(D93="","-",+C130+1)</f>
        <v>2047</v>
      </c>
      <c r="D131" s="347">
        <f>IF(F130+SUM(E$99:E130)=D$92,F130,D$92-SUM(E$99:E130))</f>
        <v>423576</v>
      </c>
      <c r="E131" s="485">
        <f t="shared" si="14"/>
        <v>41269</v>
      </c>
      <c r="F131" s="486">
        <f t="shared" si="15"/>
        <v>382307</v>
      </c>
      <c r="G131" s="486">
        <f t="shared" si="16"/>
        <v>402941.5</v>
      </c>
      <c r="H131" s="489">
        <f t="shared" si="17"/>
        <v>82817.920339968303</v>
      </c>
      <c r="I131" s="543">
        <f t="shared" si="18"/>
        <v>82817.920339968303</v>
      </c>
      <c r="J131" s="479">
        <f t="shared" si="13"/>
        <v>0</v>
      </c>
      <c r="K131" s="479"/>
      <c r="L131" s="488"/>
      <c r="M131" s="479">
        <f t="shared" ref="M131:M154" si="19">IF(L541&lt;&gt;0,+H541-L541,0)</f>
        <v>0</v>
      </c>
      <c r="N131" s="488"/>
      <c r="O131" s="479">
        <f t="shared" ref="O131:O154" si="20">IF(N541&lt;&gt;0,+I541-N541,0)</f>
        <v>0</v>
      </c>
      <c r="P131" s="479">
        <f t="shared" ref="P131:P154" si="21">+O541-M541</f>
        <v>0</v>
      </c>
    </row>
    <row r="132" spans="2:16" ht="12.5">
      <c r="B132" s="160" t="str">
        <f t="shared" si="12"/>
        <v/>
      </c>
      <c r="C132" s="473">
        <f>IF(D93="","-",+C131+1)</f>
        <v>2048</v>
      </c>
      <c r="D132" s="347">
        <f>IF(F131+SUM(E$99:E131)=D$92,F131,D$92-SUM(E$99:E131))</f>
        <v>382307</v>
      </c>
      <c r="E132" s="485">
        <f t="shared" si="14"/>
        <v>41269</v>
      </c>
      <c r="F132" s="486">
        <f t="shared" si="15"/>
        <v>341038</v>
      </c>
      <c r="G132" s="486">
        <f t="shared" si="16"/>
        <v>361672.5</v>
      </c>
      <c r="H132" s="489">
        <f t="shared" si="17"/>
        <v>78562.507597646763</v>
      </c>
      <c r="I132" s="543">
        <f t="shared" si="18"/>
        <v>78562.507597646763</v>
      </c>
      <c r="J132" s="479">
        <f t="shared" si="13"/>
        <v>0</v>
      </c>
      <c r="K132" s="479"/>
      <c r="L132" s="488"/>
      <c r="M132" s="479">
        <f t="shared" si="19"/>
        <v>0</v>
      </c>
      <c r="N132" s="488"/>
      <c r="O132" s="479">
        <f t="shared" si="20"/>
        <v>0</v>
      </c>
      <c r="P132" s="479">
        <f t="shared" si="21"/>
        <v>0</v>
      </c>
    </row>
    <row r="133" spans="2:16" ht="12.5">
      <c r="B133" s="160" t="str">
        <f t="shared" si="12"/>
        <v/>
      </c>
      <c r="C133" s="473">
        <f>IF(D93="","-",+C132+1)</f>
        <v>2049</v>
      </c>
      <c r="D133" s="347">
        <f>IF(F132+SUM(E$99:E132)=D$92,F132,D$92-SUM(E$99:E132))</f>
        <v>341038</v>
      </c>
      <c r="E133" s="485">
        <f t="shared" si="14"/>
        <v>41269</v>
      </c>
      <c r="F133" s="486">
        <f t="shared" si="15"/>
        <v>299769</v>
      </c>
      <c r="G133" s="486">
        <f t="shared" si="16"/>
        <v>320403.5</v>
      </c>
      <c r="H133" s="489">
        <f t="shared" si="17"/>
        <v>74307.094855325238</v>
      </c>
      <c r="I133" s="543">
        <f t="shared" si="18"/>
        <v>74307.094855325238</v>
      </c>
      <c r="J133" s="479">
        <f t="shared" si="13"/>
        <v>0</v>
      </c>
      <c r="K133" s="479"/>
      <c r="L133" s="488"/>
      <c r="M133" s="479">
        <f t="shared" si="19"/>
        <v>0</v>
      </c>
      <c r="N133" s="488"/>
      <c r="O133" s="479">
        <f t="shared" si="20"/>
        <v>0</v>
      </c>
      <c r="P133" s="479">
        <f t="shared" si="21"/>
        <v>0</v>
      </c>
    </row>
    <row r="134" spans="2:16" ht="12.5">
      <c r="B134" s="160" t="str">
        <f t="shared" si="12"/>
        <v/>
      </c>
      <c r="C134" s="473">
        <f>IF(D93="","-",+C133+1)</f>
        <v>2050</v>
      </c>
      <c r="D134" s="347">
        <f>IF(F133+SUM(E$99:E133)=D$92,F133,D$92-SUM(E$99:E133))</f>
        <v>299769</v>
      </c>
      <c r="E134" s="485">
        <f t="shared" si="14"/>
        <v>41269</v>
      </c>
      <c r="F134" s="486">
        <f t="shared" si="15"/>
        <v>258500</v>
      </c>
      <c r="G134" s="486">
        <f t="shared" si="16"/>
        <v>279134.5</v>
      </c>
      <c r="H134" s="489">
        <f t="shared" si="17"/>
        <v>70051.682113003699</v>
      </c>
      <c r="I134" s="543">
        <f t="shared" si="18"/>
        <v>70051.682113003699</v>
      </c>
      <c r="J134" s="479">
        <f t="shared" si="13"/>
        <v>0</v>
      </c>
      <c r="K134" s="479"/>
      <c r="L134" s="488"/>
      <c r="M134" s="479">
        <f t="shared" si="19"/>
        <v>0</v>
      </c>
      <c r="N134" s="488"/>
      <c r="O134" s="479">
        <f t="shared" si="20"/>
        <v>0</v>
      </c>
      <c r="P134" s="479">
        <f t="shared" si="21"/>
        <v>0</v>
      </c>
    </row>
    <row r="135" spans="2:16" ht="12.5">
      <c r="B135" s="160" t="str">
        <f t="shared" si="12"/>
        <v/>
      </c>
      <c r="C135" s="473">
        <f>IF(D93="","-",+C134+1)</f>
        <v>2051</v>
      </c>
      <c r="D135" s="347">
        <f>IF(F134+SUM(E$99:E134)=D$92,F134,D$92-SUM(E$99:E134))</f>
        <v>258500</v>
      </c>
      <c r="E135" s="485">
        <f t="shared" si="14"/>
        <v>41269</v>
      </c>
      <c r="F135" s="486">
        <f t="shared" si="15"/>
        <v>217231</v>
      </c>
      <c r="G135" s="486">
        <f t="shared" si="16"/>
        <v>237865.5</v>
      </c>
      <c r="H135" s="489">
        <f t="shared" si="17"/>
        <v>65796.269370682174</v>
      </c>
      <c r="I135" s="543">
        <f t="shared" si="18"/>
        <v>65796.269370682174</v>
      </c>
      <c r="J135" s="479">
        <f t="shared" si="13"/>
        <v>0</v>
      </c>
      <c r="K135" s="479"/>
      <c r="L135" s="488"/>
      <c r="M135" s="479">
        <f t="shared" si="19"/>
        <v>0</v>
      </c>
      <c r="N135" s="488"/>
      <c r="O135" s="479">
        <f t="shared" si="20"/>
        <v>0</v>
      </c>
      <c r="P135" s="479">
        <f t="shared" si="21"/>
        <v>0</v>
      </c>
    </row>
    <row r="136" spans="2:16" ht="12.5">
      <c r="B136" s="160" t="str">
        <f t="shared" si="12"/>
        <v/>
      </c>
      <c r="C136" s="473">
        <f>IF(D93="","-",+C135+1)</f>
        <v>2052</v>
      </c>
      <c r="D136" s="347">
        <f>IF(F135+SUM(E$99:E135)=D$92,F135,D$92-SUM(E$99:E135))</f>
        <v>217231</v>
      </c>
      <c r="E136" s="485">
        <f t="shared" si="14"/>
        <v>41269</v>
      </c>
      <c r="F136" s="486">
        <f t="shared" si="15"/>
        <v>175962</v>
      </c>
      <c r="G136" s="486">
        <f t="shared" si="16"/>
        <v>196596.5</v>
      </c>
      <c r="H136" s="489">
        <f t="shared" si="17"/>
        <v>61540.856628360634</v>
      </c>
      <c r="I136" s="543">
        <f t="shared" si="18"/>
        <v>61540.856628360634</v>
      </c>
      <c r="J136" s="479">
        <f t="shared" si="13"/>
        <v>0</v>
      </c>
      <c r="K136" s="479"/>
      <c r="L136" s="488"/>
      <c r="M136" s="479">
        <f t="shared" si="19"/>
        <v>0</v>
      </c>
      <c r="N136" s="488"/>
      <c r="O136" s="479">
        <f t="shared" si="20"/>
        <v>0</v>
      </c>
      <c r="P136" s="479">
        <f t="shared" si="21"/>
        <v>0</v>
      </c>
    </row>
    <row r="137" spans="2:16" ht="12.5">
      <c r="B137" s="160" t="str">
        <f t="shared" si="12"/>
        <v/>
      </c>
      <c r="C137" s="473">
        <f>IF(D93="","-",+C136+1)</f>
        <v>2053</v>
      </c>
      <c r="D137" s="347">
        <f>IF(F136+SUM(E$99:E136)=D$92,F136,D$92-SUM(E$99:E136))</f>
        <v>175962</v>
      </c>
      <c r="E137" s="485">
        <f t="shared" si="14"/>
        <v>41269</v>
      </c>
      <c r="F137" s="486">
        <f t="shared" si="15"/>
        <v>134693</v>
      </c>
      <c r="G137" s="486">
        <f t="shared" si="16"/>
        <v>155327.5</v>
      </c>
      <c r="H137" s="489">
        <f t="shared" si="17"/>
        <v>57285.443886039109</v>
      </c>
      <c r="I137" s="543">
        <f t="shared" si="18"/>
        <v>57285.443886039109</v>
      </c>
      <c r="J137" s="479">
        <f t="shared" si="13"/>
        <v>0</v>
      </c>
      <c r="K137" s="479"/>
      <c r="L137" s="488"/>
      <c r="M137" s="479">
        <f t="shared" si="19"/>
        <v>0</v>
      </c>
      <c r="N137" s="488"/>
      <c r="O137" s="479">
        <f t="shared" si="20"/>
        <v>0</v>
      </c>
      <c r="P137" s="479">
        <f t="shared" si="21"/>
        <v>0</v>
      </c>
    </row>
    <row r="138" spans="2:16" ht="12.5">
      <c r="B138" s="160" t="str">
        <f t="shared" si="12"/>
        <v/>
      </c>
      <c r="C138" s="473">
        <f>IF(D93="","-",+C137+1)</f>
        <v>2054</v>
      </c>
      <c r="D138" s="347">
        <f>IF(F137+SUM(E$99:E137)=D$92,F137,D$92-SUM(E$99:E137))</f>
        <v>134693</v>
      </c>
      <c r="E138" s="485">
        <f t="shared" si="14"/>
        <v>41269</v>
      </c>
      <c r="F138" s="486">
        <f t="shared" si="15"/>
        <v>93424</v>
      </c>
      <c r="G138" s="486">
        <f t="shared" si="16"/>
        <v>114058.5</v>
      </c>
      <c r="H138" s="489">
        <f t="shared" si="17"/>
        <v>53030.03114371757</v>
      </c>
      <c r="I138" s="543">
        <f t="shared" si="18"/>
        <v>53030.03114371757</v>
      </c>
      <c r="J138" s="479">
        <f t="shared" si="13"/>
        <v>0</v>
      </c>
      <c r="K138" s="479"/>
      <c r="L138" s="488"/>
      <c r="M138" s="479">
        <f t="shared" si="19"/>
        <v>0</v>
      </c>
      <c r="N138" s="488"/>
      <c r="O138" s="479">
        <f t="shared" si="20"/>
        <v>0</v>
      </c>
      <c r="P138" s="479">
        <f t="shared" si="21"/>
        <v>0</v>
      </c>
    </row>
    <row r="139" spans="2:16" ht="12.5">
      <c r="B139" s="160" t="str">
        <f t="shared" si="12"/>
        <v/>
      </c>
      <c r="C139" s="473">
        <f>IF(D93="","-",+C138+1)</f>
        <v>2055</v>
      </c>
      <c r="D139" s="347">
        <f>IF(F138+SUM(E$99:E138)=D$92,F138,D$92-SUM(E$99:E138))</f>
        <v>93424</v>
      </c>
      <c r="E139" s="485">
        <f t="shared" si="14"/>
        <v>41269</v>
      </c>
      <c r="F139" s="486">
        <f t="shared" si="15"/>
        <v>52155</v>
      </c>
      <c r="G139" s="486">
        <f t="shared" si="16"/>
        <v>72789.5</v>
      </c>
      <c r="H139" s="489">
        <f t="shared" si="17"/>
        <v>48774.618401396045</v>
      </c>
      <c r="I139" s="543">
        <f t="shared" si="18"/>
        <v>48774.618401396045</v>
      </c>
      <c r="J139" s="479">
        <f t="shared" si="13"/>
        <v>0</v>
      </c>
      <c r="K139" s="479"/>
      <c r="L139" s="488"/>
      <c r="M139" s="479">
        <f t="shared" si="19"/>
        <v>0</v>
      </c>
      <c r="N139" s="488"/>
      <c r="O139" s="479">
        <f t="shared" si="20"/>
        <v>0</v>
      </c>
      <c r="P139" s="479">
        <f t="shared" si="21"/>
        <v>0</v>
      </c>
    </row>
    <row r="140" spans="2:16" ht="12.5">
      <c r="B140" s="160" t="str">
        <f t="shared" si="12"/>
        <v/>
      </c>
      <c r="C140" s="473">
        <f>IF(D93="","-",+C139+1)</f>
        <v>2056</v>
      </c>
      <c r="D140" s="347">
        <f>IF(F139+SUM(E$99:E139)=D$92,F139,D$92-SUM(E$99:E139))</f>
        <v>52155</v>
      </c>
      <c r="E140" s="485">
        <f t="shared" si="14"/>
        <v>41269</v>
      </c>
      <c r="F140" s="486">
        <f t="shared" si="15"/>
        <v>10886</v>
      </c>
      <c r="G140" s="486">
        <f t="shared" si="16"/>
        <v>31520.5</v>
      </c>
      <c r="H140" s="489">
        <f t="shared" si="17"/>
        <v>44519.205659074505</v>
      </c>
      <c r="I140" s="543">
        <f t="shared" si="18"/>
        <v>44519.205659074505</v>
      </c>
      <c r="J140" s="479">
        <f t="shared" si="13"/>
        <v>0</v>
      </c>
      <c r="K140" s="479"/>
      <c r="L140" s="488"/>
      <c r="M140" s="479">
        <f t="shared" si="19"/>
        <v>0</v>
      </c>
      <c r="N140" s="488"/>
      <c r="O140" s="479">
        <f t="shared" si="20"/>
        <v>0</v>
      </c>
      <c r="P140" s="479">
        <f t="shared" si="21"/>
        <v>0</v>
      </c>
    </row>
    <row r="141" spans="2:16" ht="12.5">
      <c r="B141" s="160" t="str">
        <f t="shared" si="12"/>
        <v/>
      </c>
      <c r="C141" s="473">
        <f>IF(D93="","-",+C140+1)</f>
        <v>2057</v>
      </c>
      <c r="D141" s="347">
        <f>IF(F140+SUM(E$99:E140)=D$92,F140,D$92-SUM(E$99:E140))</f>
        <v>10886</v>
      </c>
      <c r="E141" s="485">
        <f t="shared" si="14"/>
        <v>10886</v>
      </c>
      <c r="F141" s="486">
        <f t="shared" si="15"/>
        <v>0</v>
      </c>
      <c r="G141" s="486">
        <f t="shared" si="16"/>
        <v>5443</v>
      </c>
      <c r="H141" s="489">
        <f t="shared" si="17"/>
        <v>11447.249643956871</v>
      </c>
      <c r="I141" s="543">
        <f t="shared" si="18"/>
        <v>11447.249643956871</v>
      </c>
      <c r="J141" s="479">
        <f t="shared" si="13"/>
        <v>0</v>
      </c>
      <c r="K141" s="479"/>
      <c r="L141" s="488"/>
      <c r="M141" s="479">
        <f t="shared" si="19"/>
        <v>0</v>
      </c>
      <c r="N141" s="488"/>
      <c r="O141" s="479">
        <f t="shared" si="20"/>
        <v>0</v>
      </c>
      <c r="P141" s="479">
        <f t="shared" si="21"/>
        <v>0</v>
      </c>
    </row>
    <row r="142" spans="2:16" ht="12.5">
      <c r="B142" s="160" t="str">
        <f t="shared" si="12"/>
        <v/>
      </c>
      <c r="C142" s="473">
        <f>IF(D93="","-",+C141+1)</f>
        <v>2058</v>
      </c>
      <c r="D142" s="347">
        <f>IF(F141+SUM(E$99:E141)=D$92,F141,D$92-SUM(E$99:E141))</f>
        <v>0</v>
      </c>
      <c r="E142" s="485">
        <f t="shared" si="14"/>
        <v>0</v>
      </c>
      <c r="F142" s="486">
        <f t="shared" si="15"/>
        <v>0</v>
      </c>
      <c r="G142" s="486">
        <f t="shared" si="16"/>
        <v>0</v>
      </c>
      <c r="H142" s="489">
        <f t="shared" si="17"/>
        <v>0</v>
      </c>
      <c r="I142" s="543">
        <f t="shared" si="18"/>
        <v>0</v>
      </c>
      <c r="J142" s="479">
        <f t="shared" si="13"/>
        <v>0</v>
      </c>
      <c r="K142" s="479"/>
      <c r="L142" s="488"/>
      <c r="M142" s="479">
        <f t="shared" si="19"/>
        <v>0</v>
      </c>
      <c r="N142" s="488"/>
      <c r="O142" s="479">
        <f t="shared" si="20"/>
        <v>0</v>
      </c>
      <c r="P142" s="479">
        <f t="shared" si="21"/>
        <v>0</v>
      </c>
    </row>
    <row r="143" spans="2:16" ht="12.5">
      <c r="B143" s="160" t="str">
        <f t="shared" si="12"/>
        <v/>
      </c>
      <c r="C143" s="473">
        <f>IF(D93="","-",+C142+1)</f>
        <v>2059</v>
      </c>
      <c r="D143" s="347">
        <f>IF(F142+SUM(E$99:E142)=D$92,F142,D$92-SUM(E$99:E142))</f>
        <v>0</v>
      </c>
      <c r="E143" s="485">
        <f t="shared" si="14"/>
        <v>0</v>
      </c>
      <c r="F143" s="486">
        <f t="shared" si="15"/>
        <v>0</v>
      </c>
      <c r="G143" s="486">
        <f t="shared" si="16"/>
        <v>0</v>
      </c>
      <c r="H143" s="489">
        <f t="shared" si="17"/>
        <v>0</v>
      </c>
      <c r="I143" s="543">
        <f t="shared" si="18"/>
        <v>0</v>
      </c>
      <c r="J143" s="479">
        <f t="shared" si="13"/>
        <v>0</v>
      </c>
      <c r="K143" s="479"/>
      <c r="L143" s="488"/>
      <c r="M143" s="479">
        <f t="shared" si="19"/>
        <v>0</v>
      </c>
      <c r="N143" s="488"/>
      <c r="O143" s="479">
        <f t="shared" si="20"/>
        <v>0</v>
      </c>
      <c r="P143" s="479">
        <f t="shared" si="21"/>
        <v>0</v>
      </c>
    </row>
    <row r="144" spans="2:16" ht="12.5">
      <c r="B144" s="160" t="str">
        <f t="shared" si="12"/>
        <v/>
      </c>
      <c r="C144" s="473">
        <f>IF(D93="","-",+C143+1)</f>
        <v>2060</v>
      </c>
      <c r="D144" s="347">
        <f>IF(F143+SUM(E$99:E143)=D$92,F143,D$92-SUM(E$99:E143))</f>
        <v>0</v>
      </c>
      <c r="E144" s="485">
        <f t="shared" si="14"/>
        <v>0</v>
      </c>
      <c r="F144" s="486">
        <f t="shared" si="15"/>
        <v>0</v>
      </c>
      <c r="G144" s="486">
        <f t="shared" si="16"/>
        <v>0</v>
      </c>
      <c r="H144" s="489">
        <f t="shared" si="17"/>
        <v>0</v>
      </c>
      <c r="I144" s="543">
        <f t="shared" si="18"/>
        <v>0</v>
      </c>
      <c r="J144" s="479">
        <f t="shared" si="13"/>
        <v>0</v>
      </c>
      <c r="K144" s="479"/>
      <c r="L144" s="488"/>
      <c r="M144" s="479">
        <f t="shared" si="19"/>
        <v>0</v>
      </c>
      <c r="N144" s="488"/>
      <c r="O144" s="479">
        <f t="shared" si="20"/>
        <v>0</v>
      </c>
      <c r="P144" s="479">
        <f t="shared" si="21"/>
        <v>0</v>
      </c>
    </row>
    <row r="145" spans="2:16" ht="12.5">
      <c r="B145" s="160" t="str">
        <f t="shared" si="12"/>
        <v/>
      </c>
      <c r="C145" s="473">
        <f>IF(D93="","-",+C144+1)</f>
        <v>2061</v>
      </c>
      <c r="D145" s="347">
        <f>IF(F144+SUM(E$99:E144)=D$92,F144,D$92-SUM(E$99:E144))</f>
        <v>0</v>
      </c>
      <c r="E145" s="485">
        <f t="shared" si="14"/>
        <v>0</v>
      </c>
      <c r="F145" s="486">
        <f t="shared" si="15"/>
        <v>0</v>
      </c>
      <c r="G145" s="486">
        <f t="shared" si="16"/>
        <v>0</v>
      </c>
      <c r="H145" s="489">
        <f t="shared" si="17"/>
        <v>0</v>
      </c>
      <c r="I145" s="543">
        <f t="shared" si="18"/>
        <v>0</v>
      </c>
      <c r="J145" s="479">
        <f t="shared" si="13"/>
        <v>0</v>
      </c>
      <c r="K145" s="479"/>
      <c r="L145" s="488"/>
      <c r="M145" s="479">
        <f t="shared" si="19"/>
        <v>0</v>
      </c>
      <c r="N145" s="488"/>
      <c r="O145" s="479">
        <f t="shared" si="20"/>
        <v>0</v>
      </c>
      <c r="P145" s="479">
        <f t="shared" si="21"/>
        <v>0</v>
      </c>
    </row>
    <row r="146" spans="2:16" ht="12.5">
      <c r="B146" s="160" t="str">
        <f t="shared" si="12"/>
        <v/>
      </c>
      <c r="C146" s="473">
        <f>IF(D93="","-",+C145+1)</f>
        <v>2062</v>
      </c>
      <c r="D146" s="347">
        <f>IF(F145+SUM(E$99:E145)=D$92,F145,D$92-SUM(E$99:E145))</f>
        <v>0</v>
      </c>
      <c r="E146" s="485">
        <f t="shared" si="14"/>
        <v>0</v>
      </c>
      <c r="F146" s="486">
        <f t="shared" si="15"/>
        <v>0</v>
      </c>
      <c r="G146" s="486">
        <f t="shared" si="16"/>
        <v>0</v>
      </c>
      <c r="H146" s="489">
        <f t="shared" si="17"/>
        <v>0</v>
      </c>
      <c r="I146" s="543">
        <f t="shared" si="18"/>
        <v>0</v>
      </c>
      <c r="J146" s="479">
        <f t="shared" si="13"/>
        <v>0</v>
      </c>
      <c r="K146" s="479"/>
      <c r="L146" s="488"/>
      <c r="M146" s="479">
        <f t="shared" si="19"/>
        <v>0</v>
      </c>
      <c r="N146" s="488"/>
      <c r="O146" s="479">
        <f t="shared" si="20"/>
        <v>0</v>
      </c>
      <c r="P146" s="479">
        <f t="shared" si="21"/>
        <v>0</v>
      </c>
    </row>
    <row r="147" spans="2:16" ht="12.5">
      <c r="B147" s="160" t="str">
        <f t="shared" si="12"/>
        <v/>
      </c>
      <c r="C147" s="473">
        <f>IF(D93="","-",+C146+1)</f>
        <v>2063</v>
      </c>
      <c r="D147" s="347">
        <f>IF(F146+SUM(E$99:E146)=D$92,F146,D$92-SUM(E$99:E146))</f>
        <v>0</v>
      </c>
      <c r="E147" s="485">
        <f t="shared" si="14"/>
        <v>0</v>
      </c>
      <c r="F147" s="486">
        <f t="shared" si="15"/>
        <v>0</v>
      </c>
      <c r="G147" s="486">
        <f t="shared" si="16"/>
        <v>0</v>
      </c>
      <c r="H147" s="489">
        <f t="shared" si="17"/>
        <v>0</v>
      </c>
      <c r="I147" s="543">
        <f t="shared" si="18"/>
        <v>0</v>
      </c>
      <c r="J147" s="479">
        <f t="shared" si="13"/>
        <v>0</v>
      </c>
      <c r="K147" s="479"/>
      <c r="L147" s="488"/>
      <c r="M147" s="479">
        <f t="shared" si="19"/>
        <v>0</v>
      </c>
      <c r="N147" s="488"/>
      <c r="O147" s="479">
        <f t="shared" si="20"/>
        <v>0</v>
      </c>
      <c r="P147" s="479">
        <f t="shared" si="21"/>
        <v>0</v>
      </c>
    </row>
    <row r="148" spans="2:16" ht="12.5">
      <c r="B148" s="160" t="str">
        <f t="shared" si="12"/>
        <v/>
      </c>
      <c r="C148" s="473">
        <f>IF(D93="","-",+C147+1)</f>
        <v>2064</v>
      </c>
      <c r="D148" s="347">
        <f>IF(F147+SUM(E$99:E147)=D$92,F147,D$92-SUM(E$99:E147))</f>
        <v>0</v>
      </c>
      <c r="E148" s="485">
        <f t="shared" si="14"/>
        <v>0</v>
      </c>
      <c r="F148" s="486">
        <f t="shared" si="15"/>
        <v>0</v>
      </c>
      <c r="G148" s="486">
        <f t="shared" si="16"/>
        <v>0</v>
      </c>
      <c r="H148" s="489">
        <f t="shared" si="17"/>
        <v>0</v>
      </c>
      <c r="I148" s="543">
        <f t="shared" si="18"/>
        <v>0</v>
      </c>
      <c r="J148" s="479">
        <f t="shared" si="13"/>
        <v>0</v>
      </c>
      <c r="K148" s="479"/>
      <c r="L148" s="488"/>
      <c r="M148" s="479">
        <f t="shared" si="19"/>
        <v>0</v>
      </c>
      <c r="N148" s="488"/>
      <c r="O148" s="479">
        <f t="shared" si="20"/>
        <v>0</v>
      </c>
      <c r="P148" s="479">
        <f t="shared" si="21"/>
        <v>0</v>
      </c>
    </row>
    <row r="149" spans="2:16" ht="12.5">
      <c r="B149" s="160" t="str">
        <f t="shared" si="12"/>
        <v/>
      </c>
      <c r="C149" s="473">
        <f>IF(D93="","-",+C148+1)</f>
        <v>2065</v>
      </c>
      <c r="D149" s="347">
        <f>IF(F148+SUM(E$99:E148)=D$92,F148,D$92-SUM(E$99:E148))</f>
        <v>0</v>
      </c>
      <c r="E149" s="485">
        <f t="shared" si="14"/>
        <v>0</v>
      </c>
      <c r="F149" s="486">
        <f t="shared" si="15"/>
        <v>0</v>
      </c>
      <c r="G149" s="486">
        <f t="shared" si="16"/>
        <v>0</v>
      </c>
      <c r="H149" s="489">
        <f t="shared" si="17"/>
        <v>0</v>
      </c>
      <c r="I149" s="543">
        <f t="shared" si="18"/>
        <v>0</v>
      </c>
      <c r="J149" s="479">
        <f t="shared" si="13"/>
        <v>0</v>
      </c>
      <c r="K149" s="479"/>
      <c r="L149" s="488"/>
      <c r="M149" s="479">
        <f t="shared" si="19"/>
        <v>0</v>
      </c>
      <c r="N149" s="488"/>
      <c r="O149" s="479">
        <f t="shared" si="20"/>
        <v>0</v>
      </c>
      <c r="P149" s="479">
        <f t="shared" si="21"/>
        <v>0</v>
      </c>
    </row>
    <row r="150" spans="2:16" ht="12.5">
      <c r="B150" s="160" t="str">
        <f t="shared" si="12"/>
        <v/>
      </c>
      <c r="C150" s="473">
        <f>IF(D93="","-",+C149+1)</f>
        <v>2066</v>
      </c>
      <c r="D150" s="347">
        <f>IF(F149+SUM(E$99:E149)=D$92,F149,D$92-SUM(E$99:E149))</f>
        <v>0</v>
      </c>
      <c r="E150" s="485">
        <f t="shared" si="14"/>
        <v>0</v>
      </c>
      <c r="F150" s="486">
        <f t="shared" si="15"/>
        <v>0</v>
      </c>
      <c r="G150" s="486">
        <f t="shared" si="16"/>
        <v>0</v>
      </c>
      <c r="H150" s="489">
        <f t="shared" si="17"/>
        <v>0</v>
      </c>
      <c r="I150" s="543">
        <f t="shared" si="18"/>
        <v>0</v>
      </c>
      <c r="J150" s="479">
        <f t="shared" si="13"/>
        <v>0</v>
      </c>
      <c r="K150" s="479"/>
      <c r="L150" s="488"/>
      <c r="M150" s="479">
        <f t="shared" si="19"/>
        <v>0</v>
      </c>
      <c r="N150" s="488"/>
      <c r="O150" s="479">
        <f t="shared" si="20"/>
        <v>0</v>
      </c>
      <c r="P150" s="479">
        <f t="shared" si="21"/>
        <v>0</v>
      </c>
    </row>
    <row r="151" spans="2:16" ht="12.5">
      <c r="B151" s="160" t="str">
        <f t="shared" si="12"/>
        <v/>
      </c>
      <c r="C151" s="473">
        <f>IF(D93="","-",+C150+1)</f>
        <v>2067</v>
      </c>
      <c r="D151" s="347">
        <f>IF(F150+SUM(E$99:E150)=D$92,F150,D$92-SUM(E$99:E150))</f>
        <v>0</v>
      </c>
      <c r="E151" s="485">
        <f t="shared" si="14"/>
        <v>0</v>
      </c>
      <c r="F151" s="486">
        <f t="shared" si="15"/>
        <v>0</v>
      </c>
      <c r="G151" s="486">
        <f t="shared" si="16"/>
        <v>0</v>
      </c>
      <c r="H151" s="489">
        <f t="shared" si="17"/>
        <v>0</v>
      </c>
      <c r="I151" s="543">
        <f t="shared" si="18"/>
        <v>0</v>
      </c>
      <c r="J151" s="479">
        <f t="shared" si="13"/>
        <v>0</v>
      </c>
      <c r="K151" s="479"/>
      <c r="L151" s="488"/>
      <c r="M151" s="479">
        <f t="shared" si="19"/>
        <v>0</v>
      </c>
      <c r="N151" s="488"/>
      <c r="O151" s="479">
        <f t="shared" si="20"/>
        <v>0</v>
      </c>
      <c r="P151" s="479">
        <f t="shared" si="21"/>
        <v>0</v>
      </c>
    </row>
    <row r="152" spans="2:16" ht="12.5">
      <c r="B152" s="160" t="str">
        <f t="shared" si="12"/>
        <v/>
      </c>
      <c r="C152" s="473">
        <f>IF(D93="","-",+C151+1)</f>
        <v>2068</v>
      </c>
      <c r="D152" s="347">
        <f>IF(F151+SUM(E$99:E151)=D$92,F151,D$92-SUM(E$99:E151))</f>
        <v>0</v>
      </c>
      <c r="E152" s="485">
        <f t="shared" si="14"/>
        <v>0</v>
      </c>
      <c r="F152" s="486">
        <f t="shared" si="15"/>
        <v>0</v>
      </c>
      <c r="G152" s="486">
        <f t="shared" si="16"/>
        <v>0</v>
      </c>
      <c r="H152" s="489">
        <f t="shared" si="17"/>
        <v>0</v>
      </c>
      <c r="I152" s="543">
        <f t="shared" si="18"/>
        <v>0</v>
      </c>
      <c r="J152" s="479">
        <f t="shared" si="13"/>
        <v>0</v>
      </c>
      <c r="K152" s="479"/>
      <c r="L152" s="488"/>
      <c r="M152" s="479">
        <f t="shared" si="19"/>
        <v>0</v>
      </c>
      <c r="N152" s="488"/>
      <c r="O152" s="479">
        <f t="shared" si="20"/>
        <v>0</v>
      </c>
      <c r="P152" s="479">
        <f t="shared" si="21"/>
        <v>0</v>
      </c>
    </row>
    <row r="153" spans="2:16" ht="12.5">
      <c r="B153" s="160" t="str">
        <f t="shared" si="12"/>
        <v/>
      </c>
      <c r="C153" s="473">
        <f>IF(D93="","-",+C152+1)</f>
        <v>2069</v>
      </c>
      <c r="D153" s="347">
        <f>IF(F152+SUM(E$99:E152)=D$92,F152,D$92-SUM(E$99:E152))</f>
        <v>0</v>
      </c>
      <c r="E153" s="485">
        <f t="shared" si="14"/>
        <v>0</v>
      </c>
      <c r="F153" s="486">
        <f t="shared" si="15"/>
        <v>0</v>
      </c>
      <c r="G153" s="486">
        <f t="shared" si="16"/>
        <v>0</v>
      </c>
      <c r="H153" s="489">
        <f t="shared" si="17"/>
        <v>0</v>
      </c>
      <c r="I153" s="543">
        <f t="shared" si="18"/>
        <v>0</v>
      </c>
      <c r="J153" s="479">
        <f t="shared" si="13"/>
        <v>0</v>
      </c>
      <c r="K153" s="479"/>
      <c r="L153" s="488"/>
      <c r="M153" s="479">
        <f t="shared" si="19"/>
        <v>0</v>
      </c>
      <c r="N153" s="488"/>
      <c r="O153" s="479">
        <f t="shared" si="20"/>
        <v>0</v>
      </c>
      <c r="P153" s="479">
        <f t="shared" si="21"/>
        <v>0</v>
      </c>
    </row>
    <row r="154" spans="2:16" ht="13" thickBot="1">
      <c r="B154" s="160" t="str">
        <f t="shared" si="12"/>
        <v/>
      </c>
      <c r="C154" s="490">
        <f>IF(D93="","-",+C153+1)</f>
        <v>2070</v>
      </c>
      <c r="D154" s="577">
        <f>IF(F153+SUM(E$99:E153)=D$92,F153,D$92-SUM(E$99:E153))</f>
        <v>0</v>
      </c>
      <c r="E154" s="492">
        <f t="shared" si="14"/>
        <v>0</v>
      </c>
      <c r="F154" s="491">
        <f t="shared" si="15"/>
        <v>0</v>
      </c>
      <c r="G154" s="491">
        <f t="shared" si="16"/>
        <v>0</v>
      </c>
      <c r="H154" s="493">
        <f t="shared" si="17"/>
        <v>0</v>
      </c>
      <c r="I154" s="546">
        <f t="shared" si="18"/>
        <v>0</v>
      </c>
      <c r="J154" s="496">
        <f t="shared" si="13"/>
        <v>0</v>
      </c>
      <c r="K154" s="479"/>
      <c r="L154" s="495"/>
      <c r="M154" s="496">
        <f t="shared" si="19"/>
        <v>0</v>
      </c>
      <c r="N154" s="495"/>
      <c r="O154" s="496">
        <f t="shared" si="20"/>
        <v>0</v>
      </c>
      <c r="P154" s="496">
        <f t="shared" si="21"/>
        <v>0</v>
      </c>
    </row>
    <row r="155" spans="2:16" ht="12.5">
      <c r="C155" s="347" t="s">
        <v>77</v>
      </c>
      <c r="D155" s="348"/>
      <c r="E155" s="348">
        <f>SUM(E99:E154)</f>
        <v>1692023</v>
      </c>
      <c r="F155" s="348"/>
      <c r="G155" s="348"/>
      <c r="H155" s="348">
        <f>SUM(H99:H154)</f>
        <v>5506173.6064336933</v>
      </c>
      <c r="I155" s="348">
        <f>SUM(I99:I154)</f>
        <v>5506173.6064336933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tabSelected="1" view="pageBreakPreview" topLeftCell="E1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18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215061.09551654221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215061.09551654221</v>
      </c>
      <c r="O6" s="233"/>
      <c r="P6" s="233"/>
    </row>
    <row r="7" spans="1:16" ht="13.5" thickBot="1">
      <c r="C7" s="432" t="s">
        <v>46</v>
      </c>
      <c r="D7" s="600" t="s">
        <v>266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611" t="s">
        <v>269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273</v>
      </c>
      <c r="E9" s="578" t="s">
        <v>262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1725646.85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2014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4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38347.707777777781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2014</v>
      </c>
      <c r="D17" s="579">
        <v>1725646.85</v>
      </c>
      <c r="E17" s="602">
        <v>22123.677564102563</v>
      </c>
      <c r="F17" s="579">
        <v>1703523.1724358976</v>
      </c>
      <c r="G17" s="602">
        <v>256628.57821434946</v>
      </c>
      <c r="H17" s="603">
        <v>256628.57821434946</v>
      </c>
      <c r="I17" s="476">
        <v>0</v>
      </c>
      <c r="J17" s="476"/>
      <c r="K17" s="477">
        <f t="shared" ref="K17:K22" si="0">G17</f>
        <v>256628.57821434946</v>
      </c>
      <c r="L17" s="604">
        <f t="shared" ref="L17:L22" si="1">IF(K17&lt;&gt;0,+G17-K17,0)</f>
        <v>0</v>
      </c>
      <c r="M17" s="477">
        <f t="shared" ref="M17:M22" si="2">H17</f>
        <v>256628.57821434946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2015</v>
      </c>
      <c r="D18" s="579">
        <v>1703523.1724358976</v>
      </c>
      <c r="E18" s="580">
        <v>33185.516346153847</v>
      </c>
      <c r="F18" s="579">
        <v>1670337.6560897438</v>
      </c>
      <c r="G18" s="580">
        <v>263477.7363505594</v>
      </c>
      <c r="H18" s="603">
        <v>263477.7363505594</v>
      </c>
      <c r="I18" s="476">
        <v>0</v>
      </c>
      <c r="J18" s="476"/>
      <c r="K18" s="477">
        <f t="shared" si="0"/>
        <v>263477.7363505594</v>
      </c>
      <c r="L18" s="604">
        <f t="shared" si="1"/>
        <v>0</v>
      </c>
      <c r="M18" s="477">
        <f t="shared" si="2"/>
        <v>263477.7363505594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/>
      </c>
      <c r="C19" s="473">
        <f>IF(D11="","-",+C18+1)</f>
        <v>2016</v>
      </c>
      <c r="D19" s="579">
        <v>1670337.6560897438</v>
      </c>
      <c r="E19" s="580">
        <v>33185.516346153847</v>
      </c>
      <c r="F19" s="579">
        <v>1637152.13974359</v>
      </c>
      <c r="G19" s="580">
        <v>247913.51634615386</v>
      </c>
      <c r="H19" s="603">
        <v>247913.51634615386</v>
      </c>
      <c r="I19" s="476">
        <f>H19-G19</f>
        <v>0</v>
      </c>
      <c r="J19" s="476"/>
      <c r="K19" s="477">
        <f t="shared" si="0"/>
        <v>247913.51634615386</v>
      </c>
      <c r="L19" s="604">
        <f t="shared" si="1"/>
        <v>0</v>
      </c>
      <c r="M19" s="477">
        <f t="shared" si="2"/>
        <v>247913.51634615386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3">IF(D20=F19,"","IU")</f>
        <v>IU</v>
      </c>
      <c r="C20" s="473">
        <f>IF(D11="","-",+C19+1)</f>
        <v>2017</v>
      </c>
      <c r="D20" s="579">
        <v>1637152</v>
      </c>
      <c r="E20" s="580">
        <v>37514</v>
      </c>
      <c r="F20" s="579">
        <v>1599638</v>
      </c>
      <c r="G20" s="580">
        <v>241085</v>
      </c>
      <c r="H20" s="603">
        <v>241085</v>
      </c>
      <c r="I20" s="476">
        <f t="shared" ref="I20:I72" si="4">H20-G20</f>
        <v>0</v>
      </c>
      <c r="J20" s="476"/>
      <c r="K20" s="477">
        <f t="shared" si="0"/>
        <v>241085</v>
      </c>
      <c r="L20" s="604">
        <f t="shared" si="1"/>
        <v>0</v>
      </c>
      <c r="M20" s="477">
        <f t="shared" si="2"/>
        <v>241085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3"/>
        <v>IU</v>
      </c>
      <c r="C21" s="473">
        <f>IF(D11="","-",+C20+1)</f>
        <v>2018</v>
      </c>
      <c r="D21" s="579">
        <v>1599638.0777870682</v>
      </c>
      <c r="E21" s="580">
        <v>38347.707777777781</v>
      </c>
      <c r="F21" s="579">
        <v>1561290.3700092905</v>
      </c>
      <c r="G21" s="580">
        <v>227622.42905835263</v>
      </c>
      <c r="H21" s="603">
        <v>227622.42905835263</v>
      </c>
      <c r="I21" s="476">
        <f t="shared" si="4"/>
        <v>0</v>
      </c>
      <c r="J21" s="476"/>
      <c r="K21" s="477">
        <f t="shared" si="0"/>
        <v>227622.42905835263</v>
      </c>
      <c r="L21" s="604">
        <f t="shared" si="1"/>
        <v>0</v>
      </c>
      <c r="M21" s="477">
        <f t="shared" si="2"/>
        <v>227622.42905835263</v>
      </c>
      <c r="N21" s="479">
        <f>IF(M21&lt;&gt;0,+H21-M21,0)</f>
        <v>0</v>
      </c>
      <c r="O21" s="476">
        <f>+N21-L21</f>
        <v>0</v>
      </c>
      <c r="P21" s="243"/>
    </row>
    <row r="22" spans="2:16" ht="12.5">
      <c r="B22" s="160" t="str">
        <f t="shared" si="3"/>
        <v/>
      </c>
      <c r="C22" s="473">
        <f>IF(D11="","-",+C21+1)</f>
        <v>2019</v>
      </c>
      <c r="D22" s="579">
        <v>1561290.3700092905</v>
      </c>
      <c r="E22" s="580">
        <v>43141.171249999999</v>
      </c>
      <c r="F22" s="579">
        <v>1518149.1987592906</v>
      </c>
      <c r="G22" s="580">
        <v>215061.09551654221</v>
      </c>
      <c r="H22" s="603">
        <v>215061.09551654221</v>
      </c>
      <c r="I22" s="476">
        <f t="shared" si="4"/>
        <v>0</v>
      </c>
      <c r="J22" s="476"/>
      <c r="K22" s="477">
        <f t="shared" si="0"/>
        <v>215061.09551654221</v>
      </c>
      <c r="L22" s="604">
        <f t="shared" si="1"/>
        <v>0</v>
      </c>
      <c r="M22" s="477">
        <f t="shared" si="2"/>
        <v>215061.09551654221</v>
      </c>
      <c r="N22" s="479">
        <f t="shared" ref="N22:N72" si="5">IF(M22&lt;&gt;0,+H22-M22,0)</f>
        <v>0</v>
      </c>
      <c r="O22" s="479">
        <f t="shared" ref="O22:O72" si="6">+N22-L22</f>
        <v>0</v>
      </c>
      <c r="P22" s="243"/>
    </row>
    <row r="23" spans="2:16" ht="12.5">
      <c r="B23" s="160" t="str">
        <f t="shared" si="3"/>
        <v>IU</v>
      </c>
      <c r="C23" s="473">
        <f>IF(D11="","-",+C22+1)</f>
        <v>2020</v>
      </c>
      <c r="D23" s="486">
        <f>IF(F22+SUM(E$17:E22)=D$10,F22,D$10-SUM(E$17:E22))</f>
        <v>1518149.260715812</v>
      </c>
      <c r="E23" s="485">
        <f t="shared" ref="E23:E72" si="7">IF(+$I$14&lt;F22,$I$14,D23)</f>
        <v>38347.707777777781</v>
      </c>
      <c r="F23" s="486">
        <f t="shared" ref="F23:F72" si="8">+D23-E23</f>
        <v>1479801.5529380343</v>
      </c>
      <c r="G23" s="487">
        <f t="shared" ref="G23:G72" si="9">ROUND(I$12*F23,0)+E23</f>
        <v>238617.70777777777</v>
      </c>
      <c r="H23" s="456">
        <f t="shared" ref="H23:H72" si="10">ROUND(I$13*F23,0)+E23</f>
        <v>238617.70777777777</v>
      </c>
      <c r="I23" s="476">
        <f t="shared" si="4"/>
        <v>0</v>
      </c>
      <c r="J23" s="476"/>
      <c r="K23" s="488"/>
      <c r="L23" s="479">
        <f t="shared" ref="L23:L72" si="11">IF(K23&lt;&gt;0,+G23-K23,0)</f>
        <v>0</v>
      </c>
      <c r="M23" s="488"/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3"/>
        <v/>
      </c>
      <c r="C24" s="473">
        <f>IF(D11="","-",+C23+1)</f>
        <v>2021</v>
      </c>
      <c r="D24" s="486">
        <f>IF(F23+SUM(E$17:E23)=D$10,F23,D$10-SUM(E$17:E23))</f>
        <v>1479801.5529380343</v>
      </c>
      <c r="E24" s="485">
        <f t="shared" si="7"/>
        <v>38347.707777777781</v>
      </c>
      <c r="F24" s="486">
        <f t="shared" si="8"/>
        <v>1441453.8451602566</v>
      </c>
      <c r="G24" s="487">
        <f t="shared" si="9"/>
        <v>233427.70777777777</v>
      </c>
      <c r="H24" s="456">
        <f t="shared" si="10"/>
        <v>233427.70777777777</v>
      </c>
      <c r="I24" s="476">
        <f t="shared" si="4"/>
        <v>0</v>
      </c>
      <c r="J24" s="476"/>
      <c r="K24" s="488"/>
      <c r="L24" s="479">
        <f t="shared" si="11"/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3"/>
        <v/>
      </c>
      <c r="C25" s="473">
        <f>IF(D11="","-",+C24+1)</f>
        <v>2022</v>
      </c>
      <c r="D25" s="486">
        <f>IF(F24+SUM(E$17:E24)=D$10,F24,D$10-SUM(E$17:E24))</f>
        <v>1441453.8451602566</v>
      </c>
      <c r="E25" s="485">
        <f t="shared" si="7"/>
        <v>38347.707777777781</v>
      </c>
      <c r="F25" s="486">
        <f t="shared" si="8"/>
        <v>1403106.1373824789</v>
      </c>
      <c r="G25" s="487">
        <f t="shared" si="9"/>
        <v>228237.70777777777</v>
      </c>
      <c r="H25" s="456">
        <f t="shared" si="10"/>
        <v>228237.70777777777</v>
      </c>
      <c r="I25" s="476">
        <f t="shared" si="4"/>
        <v>0</v>
      </c>
      <c r="J25" s="476"/>
      <c r="K25" s="488"/>
      <c r="L25" s="479">
        <f t="shared" si="11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3"/>
        <v/>
      </c>
      <c r="C26" s="473">
        <f>IF(D11="","-",+C25+1)</f>
        <v>2023</v>
      </c>
      <c r="D26" s="486">
        <f>IF(F25+SUM(E$17:E25)=D$10,F25,D$10-SUM(E$17:E25))</f>
        <v>1403106.1373824789</v>
      </c>
      <c r="E26" s="485">
        <f t="shared" si="7"/>
        <v>38347.707777777781</v>
      </c>
      <c r="F26" s="486">
        <f t="shared" si="8"/>
        <v>1364758.4296047012</v>
      </c>
      <c r="G26" s="487">
        <f t="shared" si="9"/>
        <v>223047.70777777777</v>
      </c>
      <c r="H26" s="456">
        <f t="shared" si="10"/>
        <v>223047.70777777777</v>
      </c>
      <c r="I26" s="476">
        <f t="shared" si="4"/>
        <v>0</v>
      </c>
      <c r="J26" s="476"/>
      <c r="K26" s="488"/>
      <c r="L26" s="479">
        <f t="shared" si="11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3"/>
        <v/>
      </c>
      <c r="C27" s="473">
        <f>IF(D11="","-",+C26+1)</f>
        <v>2024</v>
      </c>
      <c r="D27" s="486">
        <f>IF(F26+SUM(E$17:E26)=D$10,F26,D$10-SUM(E$17:E26))</f>
        <v>1364758.4296047012</v>
      </c>
      <c r="E27" s="485">
        <f t="shared" si="7"/>
        <v>38347.707777777781</v>
      </c>
      <c r="F27" s="486">
        <f t="shared" si="8"/>
        <v>1326410.7218269235</v>
      </c>
      <c r="G27" s="487">
        <f t="shared" si="9"/>
        <v>217857.70777777777</v>
      </c>
      <c r="H27" s="456">
        <f t="shared" si="10"/>
        <v>217857.70777777777</v>
      </c>
      <c r="I27" s="476">
        <f t="shared" si="4"/>
        <v>0</v>
      </c>
      <c r="J27" s="476"/>
      <c r="K27" s="488"/>
      <c r="L27" s="479">
        <f t="shared" si="11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3"/>
        <v/>
      </c>
      <c r="C28" s="473">
        <f>IF(D11="","-",+C27+1)</f>
        <v>2025</v>
      </c>
      <c r="D28" s="486">
        <f>IF(F27+SUM(E$17:E27)=D$10,F27,D$10-SUM(E$17:E27))</f>
        <v>1326410.7218269235</v>
      </c>
      <c r="E28" s="485">
        <f t="shared" si="7"/>
        <v>38347.707777777781</v>
      </c>
      <c r="F28" s="486">
        <f t="shared" si="8"/>
        <v>1288063.0140491459</v>
      </c>
      <c r="G28" s="487">
        <f t="shared" si="9"/>
        <v>212668.70777777777</v>
      </c>
      <c r="H28" s="456">
        <f t="shared" si="10"/>
        <v>212668.70777777777</v>
      </c>
      <c r="I28" s="476">
        <f t="shared" si="4"/>
        <v>0</v>
      </c>
      <c r="J28" s="476"/>
      <c r="K28" s="488"/>
      <c r="L28" s="479">
        <f t="shared" si="11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3"/>
        <v/>
      </c>
      <c r="C29" s="473">
        <f>IF(D11="","-",+C28+1)</f>
        <v>2026</v>
      </c>
      <c r="D29" s="486">
        <f>IF(F28+SUM(E$17:E28)=D$10,F28,D$10-SUM(E$17:E28))</f>
        <v>1288063.0140491459</v>
      </c>
      <c r="E29" s="485">
        <f t="shared" si="7"/>
        <v>38347.707777777781</v>
      </c>
      <c r="F29" s="486">
        <f t="shared" si="8"/>
        <v>1249715.3062713682</v>
      </c>
      <c r="G29" s="487">
        <f t="shared" si="9"/>
        <v>207478.70777777777</v>
      </c>
      <c r="H29" s="456">
        <f t="shared" si="10"/>
        <v>207478.70777777777</v>
      </c>
      <c r="I29" s="476">
        <f t="shared" si="4"/>
        <v>0</v>
      </c>
      <c r="J29" s="476"/>
      <c r="K29" s="488"/>
      <c r="L29" s="479">
        <f t="shared" si="11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3"/>
        <v/>
      </c>
      <c r="C30" s="473">
        <f>IF(D11="","-",+C29+1)</f>
        <v>2027</v>
      </c>
      <c r="D30" s="486">
        <f>IF(F29+SUM(E$17:E29)=D$10,F29,D$10-SUM(E$17:E29))</f>
        <v>1249715.3062713682</v>
      </c>
      <c r="E30" s="485">
        <f t="shared" si="7"/>
        <v>38347.707777777781</v>
      </c>
      <c r="F30" s="486">
        <f t="shared" si="8"/>
        <v>1211367.5984935905</v>
      </c>
      <c r="G30" s="487">
        <f t="shared" si="9"/>
        <v>202288.70777777777</v>
      </c>
      <c r="H30" s="456">
        <f t="shared" si="10"/>
        <v>202288.70777777777</v>
      </c>
      <c r="I30" s="476">
        <f t="shared" si="4"/>
        <v>0</v>
      </c>
      <c r="J30" s="476"/>
      <c r="K30" s="488"/>
      <c r="L30" s="479">
        <f t="shared" si="11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3"/>
        <v/>
      </c>
      <c r="C31" s="473">
        <f>IF(D11="","-",+C30+1)</f>
        <v>2028</v>
      </c>
      <c r="D31" s="486">
        <f>IF(F30+SUM(E$17:E30)=D$10,F30,D$10-SUM(E$17:E30))</f>
        <v>1211367.5984935905</v>
      </c>
      <c r="E31" s="485">
        <f t="shared" si="7"/>
        <v>38347.707777777781</v>
      </c>
      <c r="F31" s="486">
        <f t="shared" si="8"/>
        <v>1173019.8907158128</v>
      </c>
      <c r="G31" s="487">
        <f t="shared" si="9"/>
        <v>197098.70777777777</v>
      </c>
      <c r="H31" s="456">
        <f t="shared" si="10"/>
        <v>197098.70777777777</v>
      </c>
      <c r="I31" s="476">
        <f t="shared" si="4"/>
        <v>0</v>
      </c>
      <c r="J31" s="476"/>
      <c r="K31" s="488"/>
      <c r="L31" s="479">
        <f t="shared" si="11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3"/>
        <v/>
      </c>
      <c r="C32" s="473">
        <f>IF(D11="","-",+C31+1)</f>
        <v>2029</v>
      </c>
      <c r="D32" s="486">
        <f>IF(F31+SUM(E$17:E31)=D$10,F31,D$10-SUM(E$17:E31))</f>
        <v>1173019.8907158128</v>
      </c>
      <c r="E32" s="485">
        <f t="shared" si="7"/>
        <v>38347.707777777781</v>
      </c>
      <c r="F32" s="486">
        <f t="shared" si="8"/>
        <v>1134672.1829380351</v>
      </c>
      <c r="G32" s="487">
        <f t="shared" si="9"/>
        <v>191908.70777777777</v>
      </c>
      <c r="H32" s="456">
        <f t="shared" si="10"/>
        <v>191908.70777777777</v>
      </c>
      <c r="I32" s="476">
        <f t="shared" si="4"/>
        <v>0</v>
      </c>
      <c r="J32" s="476"/>
      <c r="K32" s="488"/>
      <c r="L32" s="479">
        <f t="shared" si="11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3"/>
        <v/>
      </c>
      <c r="C33" s="473">
        <f>IF(D11="","-",+C32+1)</f>
        <v>2030</v>
      </c>
      <c r="D33" s="486">
        <f>IF(F32+SUM(E$17:E32)=D$10,F32,D$10-SUM(E$17:E32))</f>
        <v>1134672.1829380351</v>
      </c>
      <c r="E33" s="485">
        <f t="shared" si="7"/>
        <v>38347.707777777781</v>
      </c>
      <c r="F33" s="486">
        <f t="shared" si="8"/>
        <v>1096324.4751602574</v>
      </c>
      <c r="G33" s="487">
        <f t="shared" si="9"/>
        <v>186719.70777777777</v>
      </c>
      <c r="H33" s="456">
        <f t="shared" si="10"/>
        <v>186719.70777777777</v>
      </c>
      <c r="I33" s="476">
        <f t="shared" si="4"/>
        <v>0</v>
      </c>
      <c r="J33" s="476"/>
      <c r="K33" s="488"/>
      <c r="L33" s="479">
        <f t="shared" si="11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3"/>
        <v/>
      </c>
      <c r="C34" s="473">
        <f>IF(D11="","-",+C33+1)</f>
        <v>2031</v>
      </c>
      <c r="D34" s="486">
        <f>IF(F33+SUM(E$17:E33)=D$10,F33,D$10-SUM(E$17:E33))</f>
        <v>1096324.4751602574</v>
      </c>
      <c r="E34" s="485">
        <f t="shared" si="7"/>
        <v>38347.707777777781</v>
      </c>
      <c r="F34" s="486">
        <f t="shared" si="8"/>
        <v>1057976.7673824797</v>
      </c>
      <c r="G34" s="487">
        <f t="shared" si="9"/>
        <v>181529.70777777777</v>
      </c>
      <c r="H34" s="456">
        <f t="shared" si="10"/>
        <v>181529.70777777777</v>
      </c>
      <c r="I34" s="476">
        <f t="shared" si="4"/>
        <v>0</v>
      </c>
      <c r="J34" s="476"/>
      <c r="K34" s="488"/>
      <c r="L34" s="479">
        <f t="shared" si="11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3"/>
        <v/>
      </c>
      <c r="C35" s="473">
        <f>IF(D11="","-",+C34+1)</f>
        <v>2032</v>
      </c>
      <c r="D35" s="486">
        <f>IF(F34+SUM(E$17:E34)=D$10,F34,D$10-SUM(E$17:E34))</f>
        <v>1057976.7673824797</v>
      </c>
      <c r="E35" s="485">
        <f t="shared" si="7"/>
        <v>38347.707777777781</v>
      </c>
      <c r="F35" s="486">
        <f t="shared" si="8"/>
        <v>1019629.0596047019</v>
      </c>
      <c r="G35" s="487">
        <f t="shared" si="9"/>
        <v>176339.70777777777</v>
      </c>
      <c r="H35" s="456">
        <f t="shared" si="10"/>
        <v>176339.70777777777</v>
      </c>
      <c r="I35" s="476">
        <f t="shared" si="4"/>
        <v>0</v>
      </c>
      <c r="J35" s="476"/>
      <c r="K35" s="488"/>
      <c r="L35" s="479">
        <f t="shared" si="11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3"/>
        <v/>
      </c>
      <c r="C36" s="473">
        <f>IF(D11="","-",+C35+1)</f>
        <v>2033</v>
      </c>
      <c r="D36" s="486">
        <f>IF(F35+SUM(E$17:E35)=D$10,F35,D$10-SUM(E$17:E35))</f>
        <v>1019629.0596047019</v>
      </c>
      <c r="E36" s="485">
        <f t="shared" si="7"/>
        <v>38347.707777777781</v>
      </c>
      <c r="F36" s="486">
        <f t="shared" si="8"/>
        <v>981281.35182692413</v>
      </c>
      <c r="G36" s="487">
        <f t="shared" si="9"/>
        <v>171149.70777777777</v>
      </c>
      <c r="H36" s="456">
        <f t="shared" si="10"/>
        <v>171149.70777777777</v>
      </c>
      <c r="I36" s="476">
        <f t="shared" si="4"/>
        <v>0</v>
      </c>
      <c r="J36" s="476"/>
      <c r="K36" s="488"/>
      <c r="L36" s="479">
        <f t="shared" si="11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3"/>
        <v/>
      </c>
      <c r="C37" s="473">
        <f>IF(D11="","-",+C36+1)</f>
        <v>2034</v>
      </c>
      <c r="D37" s="486">
        <f>IF(F36+SUM(E$17:E36)=D$10,F36,D$10-SUM(E$17:E36))</f>
        <v>981281.35182692413</v>
      </c>
      <c r="E37" s="485">
        <f t="shared" si="7"/>
        <v>38347.707777777781</v>
      </c>
      <c r="F37" s="486">
        <f t="shared" si="8"/>
        <v>942933.64404914633</v>
      </c>
      <c r="G37" s="487">
        <f t="shared" si="9"/>
        <v>165959.70777777777</v>
      </c>
      <c r="H37" s="456">
        <f t="shared" si="10"/>
        <v>165959.70777777777</v>
      </c>
      <c r="I37" s="476">
        <f t="shared" si="4"/>
        <v>0</v>
      </c>
      <c r="J37" s="476"/>
      <c r="K37" s="488"/>
      <c r="L37" s="479">
        <f t="shared" si="11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3"/>
        <v/>
      </c>
      <c r="C38" s="473">
        <f>IF(D11="","-",+C37+1)</f>
        <v>2035</v>
      </c>
      <c r="D38" s="486">
        <f>IF(F37+SUM(E$17:E37)=D$10,F37,D$10-SUM(E$17:E37))</f>
        <v>942933.64404914633</v>
      </c>
      <c r="E38" s="485">
        <f t="shared" si="7"/>
        <v>38347.707777777781</v>
      </c>
      <c r="F38" s="486">
        <f t="shared" si="8"/>
        <v>904585.93627136853</v>
      </c>
      <c r="G38" s="487">
        <f t="shared" si="9"/>
        <v>160770.70777777777</v>
      </c>
      <c r="H38" s="456">
        <f t="shared" si="10"/>
        <v>160770.70777777777</v>
      </c>
      <c r="I38" s="476">
        <f t="shared" si="4"/>
        <v>0</v>
      </c>
      <c r="J38" s="476"/>
      <c r="K38" s="488"/>
      <c r="L38" s="479">
        <f t="shared" si="11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3"/>
        <v/>
      </c>
      <c r="C39" s="473">
        <f>IF(D11="","-",+C38+1)</f>
        <v>2036</v>
      </c>
      <c r="D39" s="486">
        <f>IF(F38+SUM(E$17:E38)=D$10,F38,D$10-SUM(E$17:E38))</f>
        <v>904585.93627136853</v>
      </c>
      <c r="E39" s="485">
        <f t="shared" si="7"/>
        <v>38347.707777777781</v>
      </c>
      <c r="F39" s="486">
        <f t="shared" si="8"/>
        <v>866238.22849359072</v>
      </c>
      <c r="G39" s="487">
        <f t="shared" si="9"/>
        <v>155580.70777777777</v>
      </c>
      <c r="H39" s="456">
        <f t="shared" si="10"/>
        <v>155580.70777777777</v>
      </c>
      <c r="I39" s="476">
        <f t="shared" si="4"/>
        <v>0</v>
      </c>
      <c r="J39" s="476"/>
      <c r="K39" s="488"/>
      <c r="L39" s="479">
        <f t="shared" si="11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3"/>
        <v/>
      </c>
      <c r="C40" s="473">
        <f>IF(D11="","-",+C39+1)</f>
        <v>2037</v>
      </c>
      <c r="D40" s="486">
        <f>IF(F39+SUM(E$17:E39)=D$10,F39,D$10-SUM(E$17:E39))</f>
        <v>866238.22849359072</v>
      </c>
      <c r="E40" s="485">
        <f t="shared" si="7"/>
        <v>38347.707777777781</v>
      </c>
      <c r="F40" s="486">
        <f t="shared" si="8"/>
        <v>827890.52071581292</v>
      </c>
      <c r="G40" s="487">
        <f t="shared" si="9"/>
        <v>150390.70777777777</v>
      </c>
      <c r="H40" s="456">
        <f t="shared" si="10"/>
        <v>150390.70777777777</v>
      </c>
      <c r="I40" s="476">
        <f t="shared" si="4"/>
        <v>0</v>
      </c>
      <c r="J40" s="476"/>
      <c r="K40" s="488"/>
      <c r="L40" s="479">
        <f t="shared" si="11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3"/>
        <v/>
      </c>
      <c r="C41" s="473">
        <f>IF(D11="","-",+C40+1)</f>
        <v>2038</v>
      </c>
      <c r="D41" s="486">
        <f>IF(F40+SUM(E$17:E40)=D$10,F40,D$10-SUM(E$17:E40))</f>
        <v>827890.52071581292</v>
      </c>
      <c r="E41" s="485">
        <f t="shared" si="7"/>
        <v>38347.707777777781</v>
      </c>
      <c r="F41" s="486">
        <f t="shared" si="8"/>
        <v>789542.81293803512</v>
      </c>
      <c r="G41" s="487">
        <f t="shared" si="9"/>
        <v>145200.70777777777</v>
      </c>
      <c r="H41" s="456">
        <f t="shared" si="10"/>
        <v>145200.70777777777</v>
      </c>
      <c r="I41" s="476">
        <f t="shared" si="4"/>
        <v>0</v>
      </c>
      <c r="J41" s="476"/>
      <c r="K41" s="488"/>
      <c r="L41" s="479">
        <f t="shared" si="11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3"/>
        <v/>
      </c>
      <c r="C42" s="473">
        <f>IF(D11="","-",+C41+1)</f>
        <v>2039</v>
      </c>
      <c r="D42" s="486">
        <f>IF(F41+SUM(E$17:E41)=D$10,F41,D$10-SUM(E$17:E41))</f>
        <v>789542.81293803512</v>
      </c>
      <c r="E42" s="485">
        <f t="shared" si="7"/>
        <v>38347.707777777781</v>
      </c>
      <c r="F42" s="486">
        <f t="shared" si="8"/>
        <v>751195.10516025731</v>
      </c>
      <c r="G42" s="487">
        <f t="shared" si="9"/>
        <v>140010.70777777777</v>
      </c>
      <c r="H42" s="456">
        <f t="shared" si="10"/>
        <v>140010.70777777777</v>
      </c>
      <c r="I42" s="476">
        <f t="shared" si="4"/>
        <v>0</v>
      </c>
      <c r="J42" s="476"/>
      <c r="K42" s="488"/>
      <c r="L42" s="479">
        <f t="shared" si="11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3"/>
        <v/>
      </c>
      <c r="C43" s="473">
        <f>IF(D11="","-",+C42+1)</f>
        <v>2040</v>
      </c>
      <c r="D43" s="486">
        <f>IF(F42+SUM(E$17:E42)=D$10,F42,D$10-SUM(E$17:E42))</f>
        <v>751195.10516025731</v>
      </c>
      <c r="E43" s="485">
        <f t="shared" si="7"/>
        <v>38347.707777777781</v>
      </c>
      <c r="F43" s="486">
        <f t="shared" si="8"/>
        <v>712847.39738247951</v>
      </c>
      <c r="G43" s="487">
        <f t="shared" si="9"/>
        <v>134820.70777777777</v>
      </c>
      <c r="H43" s="456">
        <f t="shared" si="10"/>
        <v>134820.70777777777</v>
      </c>
      <c r="I43" s="476">
        <f t="shared" si="4"/>
        <v>0</v>
      </c>
      <c r="J43" s="476"/>
      <c r="K43" s="488"/>
      <c r="L43" s="479">
        <f t="shared" si="11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3"/>
        <v/>
      </c>
      <c r="C44" s="473">
        <f>IF(D11="","-",+C43+1)</f>
        <v>2041</v>
      </c>
      <c r="D44" s="486">
        <f>IF(F43+SUM(E$17:E43)=D$10,F43,D$10-SUM(E$17:E43))</f>
        <v>712847.39738247951</v>
      </c>
      <c r="E44" s="485">
        <f t="shared" si="7"/>
        <v>38347.707777777781</v>
      </c>
      <c r="F44" s="486">
        <f t="shared" si="8"/>
        <v>674499.68960470171</v>
      </c>
      <c r="G44" s="487">
        <f t="shared" si="9"/>
        <v>129631.70777777777</v>
      </c>
      <c r="H44" s="456">
        <f t="shared" si="10"/>
        <v>129631.70777777777</v>
      </c>
      <c r="I44" s="476">
        <f t="shared" si="4"/>
        <v>0</v>
      </c>
      <c r="J44" s="476"/>
      <c r="K44" s="488"/>
      <c r="L44" s="479">
        <f t="shared" si="11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3"/>
        <v/>
      </c>
      <c r="C45" s="473">
        <f>IF(D11="","-",+C44+1)</f>
        <v>2042</v>
      </c>
      <c r="D45" s="486">
        <f>IF(F44+SUM(E$17:E44)=D$10,F44,D$10-SUM(E$17:E44))</f>
        <v>674499.68960470171</v>
      </c>
      <c r="E45" s="485">
        <f t="shared" si="7"/>
        <v>38347.707777777781</v>
      </c>
      <c r="F45" s="486">
        <f t="shared" si="8"/>
        <v>636151.9818269239</v>
      </c>
      <c r="G45" s="487">
        <f t="shared" si="9"/>
        <v>124441.70777777777</v>
      </c>
      <c r="H45" s="456">
        <f t="shared" si="10"/>
        <v>124441.70777777777</v>
      </c>
      <c r="I45" s="476">
        <f t="shared" si="4"/>
        <v>0</v>
      </c>
      <c r="J45" s="476"/>
      <c r="K45" s="488"/>
      <c r="L45" s="479">
        <f t="shared" si="11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3"/>
        <v/>
      </c>
      <c r="C46" s="473">
        <f>IF(D11="","-",+C45+1)</f>
        <v>2043</v>
      </c>
      <c r="D46" s="486">
        <f>IF(F45+SUM(E$17:E45)=D$10,F45,D$10-SUM(E$17:E45))</f>
        <v>636151.9818269239</v>
      </c>
      <c r="E46" s="485">
        <f t="shared" si="7"/>
        <v>38347.707777777781</v>
      </c>
      <c r="F46" s="486">
        <f t="shared" si="8"/>
        <v>597804.2740491461</v>
      </c>
      <c r="G46" s="487">
        <f t="shared" si="9"/>
        <v>119251.70777777777</v>
      </c>
      <c r="H46" s="456">
        <f t="shared" si="10"/>
        <v>119251.70777777777</v>
      </c>
      <c r="I46" s="476">
        <f t="shared" si="4"/>
        <v>0</v>
      </c>
      <c r="J46" s="476"/>
      <c r="K46" s="488"/>
      <c r="L46" s="479">
        <f t="shared" si="11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3"/>
        <v/>
      </c>
      <c r="C47" s="473">
        <f>IF(D11="","-",+C46+1)</f>
        <v>2044</v>
      </c>
      <c r="D47" s="486">
        <f>IF(F46+SUM(E$17:E46)=D$10,F46,D$10-SUM(E$17:E46))</f>
        <v>597804.2740491461</v>
      </c>
      <c r="E47" s="485">
        <f t="shared" si="7"/>
        <v>38347.707777777781</v>
      </c>
      <c r="F47" s="486">
        <f t="shared" si="8"/>
        <v>559456.5662713683</v>
      </c>
      <c r="G47" s="487">
        <f t="shared" si="9"/>
        <v>114061.70777777777</v>
      </c>
      <c r="H47" s="456">
        <f t="shared" si="10"/>
        <v>114061.70777777777</v>
      </c>
      <c r="I47" s="476">
        <f t="shared" si="4"/>
        <v>0</v>
      </c>
      <c r="J47" s="476"/>
      <c r="K47" s="488"/>
      <c r="L47" s="479">
        <f t="shared" si="11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3"/>
        <v/>
      </c>
      <c r="C48" s="473">
        <f>IF(D11="","-",+C47+1)</f>
        <v>2045</v>
      </c>
      <c r="D48" s="486">
        <f>IF(F47+SUM(E$17:E47)=D$10,F47,D$10-SUM(E$17:E47))</f>
        <v>559456.5662713683</v>
      </c>
      <c r="E48" s="485">
        <f t="shared" si="7"/>
        <v>38347.707777777781</v>
      </c>
      <c r="F48" s="486">
        <f t="shared" si="8"/>
        <v>521108.85849359049</v>
      </c>
      <c r="G48" s="487">
        <f t="shared" si="9"/>
        <v>108871.70777777777</v>
      </c>
      <c r="H48" s="456">
        <f t="shared" si="10"/>
        <v>108871.70777777777</v>
      </c>
      <c r="I48" s="476">
        <f t="shared" si="4"/>
        <v>0</v>
      </c>
      <c r="J48" s="476"/>
      <c r="K48" s="488"/>
      <c r="L48" s="479">
        <f t="shared" si="11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3"/>
        <v/>
      </c>
      <c r="C49" s="473">
        <f>IF(D11="","-",+C48+1)</f>
        <v>2046</v>
      </c>
      <c r="D49" s="486">
        <f>IF(F48+SUM(E$17:E48)=D$10,F48,D$10-SUM(E$17:E48))</f>
        <v>521108.85849359049</v>
      </c>
      <c r="E49" s="485">
        <f t="shared" si="7"/>
        <v>38347.707777777781</v>
      </c>
      <c r="F49" s="486">
        <f t="shared" si="8"/>
        <v>482761.15071581269</v>
      </c>
      <c r="G49" s="487">
        <f t="shared" si="9"/>
        <v>103682.70777777777</v>
      </c>
      <c r="H49" s="456">
        <f t="shared" si="10"/>
        <v>103682.70777777777</v>
      </c>
      <c r="I49" s="476">
        <f t="shared" si="4"/>
        <v>0</v>
      </c>
      <c r="J49" s="476"/>
      <c r="K49" s="488"/>
      <c r="L49" s="479">
        <f t="shared" si="11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3"/>
        <v/>
      </c>
      <c r="C50" s="473">
        <f>IF(D11="","-",+C49+1)</f>
        <v>2047</v>
      </c>
      <c r="D50" s="486">
        <f>IF(F49+SUM(E$17:E49)=D$10,F49,D$10-SUM(E$17:E49))</f>
        <v>482761.15071581269</v>
      </c>
      <c r="E50" s="485">
        <f t="shared" si="7"/>
        <v>38347.707777777781</v>
      </c>
      <c r="F50" s="486">
        <f t="shared" si="8"/>
        <v>444413.44293803489</v>
      </c>
      <c r="G50" s="487">
        <f t="shared" si="9"/>
        <v>98492.707777777774</v>
      </c>
      <c r="H50" s="456">
        <f t="shared" si="10"/>
        <v>98492.707777777774</v>
      </c>
      <c r="I50" s="476">
        <f t="shared" si="4"/>
        <v>0</v>
      </c>
      <c r="J50" s="476"/>
      <c r="K50" s="488"/>
      <c r="L50" s="479">
        <f t="shared" si="11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3"/>
        <v/>
      </c>
      <c r="C51" s="473">
        <f>IF(D11="","-",+C50+1)</f>
        <v>2048</v>
      </c>
      <c r="D51" s="486">
        <f>IF(F50+SUM(E$17:E50)=D$10,F50,D$10-SUM(E$17:E50))</f>
        <v>444413.44293803489</v>
      </c>
      <c r="E51" s="485">
        <f t="shared" si="7"/>
        <v>38347.707777777781</v>
      </c>
      <c r="F51" s="486">
        <f t="shared" si="8"/>
        <v>406065.73516025709</v>
      </c>
      <c r="G51" s="487">
        <f t="shared" si="9"/>
        <v>93302.707777777774</v>
      </c>
      <c r="H51" s="456">
        <f t="shared" si="10"/>
        <v>93302.707777777774</v>
      </c>
      <c r="I51" s="476">
        <f t="shared" si="4"/>
        <v>0</v>
      </c>
      <c r="J51" s="476"/>
      <c r="K51" s="488"/>
      <c r="L51" s="479">
        <f t="shared" si="11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3"/>
        <v/>
      </c>
      <c r="C52" s="473">
        <f>IF(D11="","-",+C51+1)</f>
        <v>2049</v>
      </c>
      <c r="D52" s="486">
        <f>IF(F51+SUM(E$17:E51)=D$10,F51,D$10-SUM(E$17:E51))</f>
        <v>406065.73516025709</v>
      </c>
      <c r="E52" s="485">
        <f t="shared" si="7"/>
        <v>38347.707777777781</v>
      </c>
      <c r="F52" s="486">
        <f t="shared" si="8"/>
        <v>367718.02738247928</v>
      </c>
      <c r="G52" s="487">
        <f t="shared" si="9"/>
        <v>88112.707777777774</v>
      </c>
      <c r="H52" s="456">
        <f t="shared" si="10"/>
        <v>88112.707777777774</v>
      </c>
      <c r="I52" s="476">
        <f t="shared" si="4"/>
        <v>0</v>
      </c>
      <c r="J52" s="476"/>
      <c r="K52" s="488"/>
      <c r="L52" s="479">
        <f t="shared" si="11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3"/>
        <v/>
      </c>
      <c r="C53" s="473">
        <f>IF(D11="","-",+C52+1)</f>
        <v>2050</v>
      </c>
      <c r="D53" s="486">
        <f>IF(F52+SUM(E$17:E52)=D$10,F52,D$10-SUM(E$17:E52))</f>
        <v>367718.02738247928</v>
      </c>
      <c r="E53" s="485">
        <f t="shared" si="7"/>
        <v>38347.707777777781</v>
      </c>
      <c r="F53" s="486">
        <f t="shared" si="8"/>
        <v>329370.31960470148</v>
      </c>
      <c r="G53" s="487">
        <f t="shared" si="9"/>
        <v>82922.707777777774</v>
      </c>
      <c r="H53" s="456">
        <f t="shared" si="10"/>
        <v>82922.707777777774</v>
      </c>
      <c r="I53" s="476">
        <f t="shared" si="4"/>
        <v>0</v>
      </c>
      <c r="J53" s="476"/>
      <c r="K53" s="488"/>
      <c r="L53" s="479">
        <f t="shared" si="11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3"/>
        <v/>
      </c>
      <c r="C54" s="473">
        <f>IF(D11="","-",+C53+1)</f>
        <v>2051</v>
      </c>
      <c r="D54" s="486">
        <f>IF(F53+SUM(E$17:E53)=D$10,F53,D$10-SUM(E$17:E53))</f>
        <v>329370.31960470148</v>
      </c>
      <c r="E54" s="485">
        <f t="shared" si="7"/>
        <v>38347.707777777781</v>
      </c>
      <c r="F54" s="486">
        <f t="shared" si="8"/>
        <v>291022.61182692368</v>
      </c>
      <c r="G54" s="487">
        <f t="shared" si="9"/>
        <v>77733.707777777774</v>
      </c>
      <c r="H54" s="456">
        <f t="shared" si="10"/>
        <v>77733.707777777774</v>
      </c>
      <c r="I54" s="476">
        <f t="shared" si="4"/>
        <v>0</v>
      </c>
      <c r="J54" s="476"/>
      <c r="K54" s="488"/>
      <c r="L54" s="479">
        <f t="shared" si="11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3"/>
        <v/>
      </c>
      <c r="C55" s="473">
        <f>IF(D11="","-",+C54+1)</f>
        <v>2052</v>
      </c>
      <c r="D55" s="486">
        <f>IF(F54+SUM(E$17:E54)=D$10,F54,D$10-SUM(E$17:E54))</f>
        <v>291022.61182692368</v>
      </c>
      <c r="E55" s="485">
        <f t="shared" si="7"/>
        <v>38347.707777777781</v>
      </c>
      <c r="F55" s="486">
        <f t="shared" si="8"/>
        <v>252674.9040491459</v>
      </c>
      <c r="G55" s="487">
        <f t="shared" si="9"/>
        <v>72543.707777777774</v>
      </c>
      <c r="H55" s="456">
        <f t="shared" si="10"/>
        <v>72543.707777777774</v>
      </c>
      <c r="I55" s="476">
        <f t="shared" si="4"/>
        <v>0</v>
      </c>
      <c r="J55" s="476"/>
      <c r="K55" s="488"/>
      <c r="L55" s="479">
        <f t="shared" si="11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3"/>
        <v/>
      </c>
      <c r="C56" s="473">
        <f>IF(D11="","-",+C55+1)</f>
        <v>2053</v>
      </c>
      <c r="D56" s="486">
        <f>IF(F55+SUM(E$17:E55)=D$10,F55,D$10-SUM(E$17:E55))</f>
        <v>252674.9040491459</v>
      </c>
      <c r="E56" s="485">
        <f t="shared" si="7"/>
        <v>38347.707777777781</v>
      </c>
      <c r="F56" s="486">
        <f t="shared" si="8"/>
        <v>214327.19627136813</v>
      </c>
      <c r="G56" s="487">
        <f t="shared" si="9"/>
        <v>67353.707777777774</v>
      </c>
      <c r="H56" s="456">
        <f t="shared" si="10"/>
        <v>67353.707777777774</v>
      </c>
      <c r="I56" s="476">
        <f t="shared" si="4"/>
        <v>0</v>
      </c>
      <c r="J56" s="476"/>
      <c r="K56" s="488"/>
      <c r="L56" s="479">
        <f t="shared" si="11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3"/>
        <v/>
      </c>
      <c r="C57" s="473">
        <f>IF(D11="","-",+C56+1)</f>
        <v>2054</v>
      </c>
      <c r="D57" s="486">
        <f>IF(F56+SUM(E$17:E56)=D$10,F56,D$10-SUM(E$17:E56))</f>
        <v>214327.19627136813</v>
      </c>
      <c r="E57" s="485">
        <f t="shared" si="7"/>
        <v>38347.707777777781</v>
      </c>
      <c r="F57" s="486">
        <f t="shared" si="8"/>
        <v>175979.48849359035</v>
      </c>
      <c r="G57" s="487">
        <f t="shared" si="9"/>
        <v>62163.707777777781</v>
      </c>
      <c r="H57" s="456">
        <f t="shared" si="10"/>
        <v>62163.707777777781</v>
      </c>
      <c r="I57" s="476">
        <f t="shared" si="4"/>
        <v>0</v>
      </c>
      <c r="J57" s="476"/>
      <c r="K57" s="488"/>
      <c r="L57" s="479">
        <f t="shared" si="11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3"/>
        <v/>
      </c>
      <c r="C58" s="473">
        <f>IF(D11="","-",+C57+1)</f>
        <v>2055</v>
      </c>
      <c r="D58" s="486">
        <f>IF(F57+SUM(E$17:E57)=D$10,F57,D$10-SUM(E$17:E57))</f>
        <v>175979.48849359035</v>
      </c>
      <c r="E58" s="485">
        <f t="shared" si="7"/>
        <v>38347.707777777781</v>
      </c>
      <c r="F58" s="486">
        <f t="shared" si="8"/>
        <v>137631.78071581258</v>
      </c>
      <c r="G58" s="487">
        <f t="shared" si="9"/>
        <v>56973.707777777781</v>
      </c>
      <c r="H58" s="456">
        <f t="shared" si="10"/>
        <v>56973.707777777781</v>
      </c>
      <c r="I58" s="476">
        <f t="shared" si="4"/>
        <v>0</v>
      </c>
      <c r="J58" s="476"/>
      <c r="K58" s="488"/>
      <c r="L58" s="479">
        <f t="shared" si="11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3"/>
        <v/>
      </c>
      <c r="C59" s="473">
        <f>IF(D11="","-",+C58+1)</f>
        <v>2056</v>
      </c>
      <c r="D59" s="486">
        <f>IF(F58+SUM(E$17:E58)=D$10,F58,D$10-SUM(E$17:E58))</f>
        <v>137631.78071581258</v>
      </c>
      <c r="E59" s="485">
        <f t="shared" si="7"/>
        <v>38347.707777777781</v>
      </c>
      <c r="F59" s="486">
        <f t="shared" si="8"/>
        <v>99284.072938034806</v>
      </c>
      <c r="G59" s="487">
        <f t="shared" si="9"/>
        <v>51784.707777777781</v>
      </c>
      <c r="H59" s="456">
        <f t="shared" si="10"/>
        <v>51784.707777777781</v>
      </c>
      <c r="I59" s="476">
        <f t="shared" si="4"/>
        <v>0</v>
      </c>
      <c r="J59" s="476"/>
      <c r="K59" s="488"/>
      <c r="L59" s="479">
        <f t="shared" si="11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3"/>
        <v/>
      </c>
      <c r="C60" s="473">
        <f>IF(D11="","-",+C59+1)</f>
        <v>2057</v>
      </c>
      <c r="D60" s="486">
        <f>IF(F59+SUM(E$17:E59)=D$10,F59,D$10-SUM(E$17:E59))</f>
        <v>99284.072938034806</v>
      </c>
      <c r="E60" s="485">
        <f t="shared" si="7"/>
        <v>38347.707777777781</v>
      </c>
      <c r="F60" s="486">
        <f t="shared" si="8"/>
        <v>60936.365160257024</v>
      </c>
      <c r="G60" s="487">
        <f t="shared" si="9"/>
        <v>46594.707777777781</v>
      </c>
      <c r="H60" s="456">
        <f t="shared" si="10"/>
        <v>46594.707777777781</v>
      </c>
      <c r="I60" s="476">
        <f t="shared" si="4"/>
        <v>0</v>
      </c>
      <c r="J60" s="476"/>
      <c r="K60" s="488"/>
      <c r="L60" s="479">
        <f t="shared" si="11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3"/>
        <v/>
      </c>
      <c r="C61" s="473">
        <f>IF(D11="","-",+C60+1)</f>
        <v>2058</v>
      </c>
      <c r="D61" s="486">
        <f>IF(F60+SUM(E$17:E60)=D$10,F60,D$10-SUM(E$17:E60))</f>
        <v>60936.365160257024</v>
      </c>
      <c r="E61" s="485">
        <f t="shared" si="7"/>
        <v>38347.707777777781</v>
      </c>
      <c r="F61" s="486">
        <f t="shared" si="8"/>
        <v>22588.657382479243</v>
      </c>
      <c r="G61" s="487">
        <f t="shared" si="9"/>
        <v>41404.707777777781</v>
      </c>
      <c r="H61" s="456">
        <f t="shared" si="10"/>
        <v>41404.707777777781</v>
      </c>
      <c r="I61" s="476">
        <f t="shared" si="4"/>
        <v>0</v>
      </c>
      <c r="J61" s="476"/>
      <c r="K61" s="488"/>
      <c r="L61" s="479">
        <f t="shared" si="11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3"/>
        <v/>
      </c>
      <c r="C62" s="473">
        <f>IF(D11="","-",+C61+1)</f>
        <v>2059</v>
      </c>
      <c r="D62" s="486">
        <f>IF(F61+SUM(E$17:E61)=D$10,F61,D$10-SUM(E$17:E61))</f>
        <v>22588.657382479243</v>
      </c>
      <c r="E62" s="485">
        <f t="shared" si="7"/>
        <v>22588.657382479243</v>
      </c>
      <c r="F62" s="486">
        <f t="shared" si="8"/>
        <v>0</v>
      </c>
      <c r="G62" s="487">
        <f t="shared" si="9"/>
        <v>22588.657382479243</v>
      </c>
      <c r="H62" s="456">
        <f t="shared" si="10"/>
        <v>22588.657382479243</v>
      </c>
      <c r="I62" s="476">
        <f t="shared" si="4"/>
        <v>0</v>
      </c>
      <c r="J62" s="476"/>
      <c r="K62" s="488"/>
      <c r="L62" s="479">
        <f t="shared" si="11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3"/>
        <v/>
      </c>
      <c r="C63" s="473">
        <f>IF(D11="","-",+C62+1)</f>
        <v>2060</v>
      </c>
      <c r="D63" s="486">
        <f>IF(F62+SUM(E$17:E62)=D$10,F62,D$10-SUM(E$17:E62))</f>
        <v>0</v>
      </c>
      <c r="E63" s="485">
        <f t="shared" si="7"/>
        <v>0</v>
      </c>
      <c r="F63" s="486">
        <f t="shared" si="8"/>
        <v>0</v>
      </c>
      <c r="G63" s="487">
        <f t="shared" si="9"/>
        <v>0</v>
      </c>
      <c r="H63" s="456">
        <f t="shared" si="10"/>
        <v>0</v>
      </c>
      <c r="I63" s="476">
        <f t="shared" si="4"/>
        <v>0</v>
      </c>
      <c r="J63" s="476"/>
      <c r="K63" s="488"/>
      <c r="L63" s="479">
        <f t="shared" si="11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3"/>
        <v/>
      </c>
      <c r="C64" s="473">
        <f>IF(D11="","-",+C63+1)</f>
        <v>2061</v>
      </c>
      <c r="D64" s="486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4"/>
        <v>0</v>
      </c>
      <c r="J64" s="476"/>
      <c r="K64" s="488"/>
      <c r="L64" s="479">
        <f t="shared" si="11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3"/>
        <v/>
      </c>
      <c r="C65" s="473">
        <f>IF(D11="","-",+C64+1)</f>
        <v>2062</v>
      </c>
      <c r="D65" s="486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4"/>
        <v>0</v>
      </c>
      <c r="J65" s="476"/>
      <c r="K65" s="488"/>
      <c r="L65" s="479">
        <f t="shared" si="11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3"/>
        <v/>
      </c>
      <c r="C66" s="473">
        <f>IF(D11="","-",+C65+1)</f>
        <v>2063</v>
      </c>
      <c r="D66" s="486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4"/>
        <v>0</v>
      </c>
      <c r="J66" s="476"/>
      <c r="K66" s="488"/>
      <c r="L66" s="479">
        <f t="shared" si="11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3"/>
        <v/>
      </c>
      <c r="C67" s="473">
        <f>IF(D11="","-",+C66+1)</f>
        <v>2064</v>
      </c>
      <c r="D67" s="486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4"/>
        <v>0</v>
      </c>
      <c r="J67" s="476"/>
      <c r="K67" s="488"/>
      <c r="L67" s="479">
        <f t="shared" si="11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3"/>
        <v/>
      </c>
      <c r="C68" s="473">
        <f>IF(D11="","-",+C67+1)</f>
        <v>2065</v>
      </c>
      <c r="D68" s="486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4"/>
        <v>0</v>
      </c>
      <c r="J68" s="476"/>
      <c r="K68" s="488"/>
      <c r="L68" s="479">
        <f t="shared" si="11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3"/>
        <v/>
      </c>
      <c r="C69" s="473">
        <f>IF(D11="","-",+C68+1)</f>
        <v>2066</v>
      </c>
      <c r="D69" s="486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4"/>
        <v>0</v>
      </c>
      <c r="J69" s="476"/>
      <c r="K69" s="488"/>
      <c r="L69" s="479">
        <f t="shared" si="11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3"/>
        <v/>
      </c>
      <c r="C70" s="473">
        <f>IF(D11="","-",+C69+1)</f>
        <v>2067</v>
      </c>
      <c r="D70" s="486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4"/>
        <v>0</v>
      </c>
      <c r="J70" s="476"/>
      <c r="K70" s="488"/>
      <c r="L70" s="479">
        <f t="shared" si="11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3"/>
        <v/>
      </c>
      <c r="C71" s="473">
        <f>IF(D11="","-",+C70+1)</f>
        <v>2068</v>
      </c>
      <c r="D71" s="486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4"/>
        <v>0</v>
      </c>
      <c r="J71" s="476"/>
      <c r="K71" s="488"/>
      <c r="L71" s="479">
        <f t="shared" si="11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3"/>
        <v/>
      </c>
      <c r="C72" s="490">
        <f>IF(D11="","-",+C71+1)</f>
        <v>2069</v>
      </c>
      <c r="D72" s="491">
        <f>IF(F71+SUM(E$17:E71)=D$10,F71,D$10-SUM(E$17:E71))</f>
        <v>0</v>
      </c>
      <c r="E72" s="492">
        <f t="shared" si="7"/>
        <v>0</v>
      </c>
      <c r="F72" s="491">
        <f t="shared" si="8"/>
        <v>0</v>
      </c>
      <c r="G72" s="545">
        <f t="shared" si="9"/>
        <v>0</v>
      </c>
      <c r="H72" s="436">
        <f t="shared" si="10"/>
        <v>0</v>
      </c>
      <c r="I72" s="494">
        <f t="shared" si="4"/>
        <v>0</v>
      </c>
      <c r="J72" s="476"/>
      <c r="K72" s="495"/>
      <c r="L72" s="496">
        <f t="shared" si="11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1725646.8499999994</v>
      </c>
      <c r="F73" s="348"/>
      <c r="G73" s="348">
        <f>SUM(G17:G72)</f>
        <v>6934806.6162017668</v>
      </c>
      <c r="H73" s="348">
        <f>SUM(H17:H72)</f>
        <v>6934806.6162017668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18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215061.09551654221</v>
      </c>
      <c r="N87" s="509">
        <f>IF(J92&lt;D11,0,VLOOKUP(J92,C17:O72,11))</f>
        <v>215061.09551654221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202604.90301828689</v>
      </c>
      <c r="N88" s="513">
        <f>IF(J92&lt;D11,0,VLOOKUP(J92,C99:P154,7))</f>
        <v>202604.90301828689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Darlington-Red Rock 138 kV line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-12456.192498255317</v>
      </c>
      <c r="N89" s="518">
        <f>+N88-N87</f>
        <v>-12456.192498255317</v>
      </c>
      <c r="O89" s="519">
        <f>+O88-O87</f>
        <v>0</v>
      </c>
      <c r="P89" s="233"/>
    </row>
    <row r="90" spans="1:16" ht="13.5" thickBot="1">
      <c r="C90" s="497"/>
      <c r="D90" s="612" t="s">
        <v>274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TP2012112</v>
      </c>
      <c r="E91" s="523" t="str">
        <f>E9</f>
        <v xml:space="preserve">  SPP Project ID = 30346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610">
        <v>1725647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2014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4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42089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2014</v>
      </c>
      <c r="D99" s="585"/>
      <c r="E99" s="586"/>
      <c r="F99" s="587"/>
      <c r="G99" s="606"/>
      <c r="H99" s="607"/>
      <c r="I99" s="608"/>
      <c r="J99" s="479">
        <v>0</v>
      </c>
      <c r="K99" s="479"/>
      <c r="L99" s="477">
        <f>H99</f>
        <v>0</v>
      </c>
      <c r="M99" s="349">
        <f>IF(L99&lt;&gt;0,+H99-L99,0)</f>
        <v>0</v>
      </c>
      <c r="N99" s="477">
        <f>I99</f>
        <v>0</v>
      </c>
      <c r="O99" s="476">
        <f>IF(N99&lt;&gt;0,+I99-N99,0)</f>
        <v>0</v>
      </c>
      <c r="P99" s="479">
        <f>+O99-M99</f>
        <v>0</v>
      </c>
    </row>
    <row r="100" spans="1:16" ht="12.5">
      <c r="B100" s="160" t="str">
        <f>IF(D100=F99,"","IU")</f>
        <v>IU</v>
      </c>
      <c r="C100" s="473">
        <f>IF(D93="","-",+C99+1)</f>
        <v>2015</v>
      </c>
      <c r="D100" s="579">
        <v>1703523.1724358976</v>
      </c>
      <c r="E100" s="580">
        <v>32760</v>
      </c>
      <c r="F100" s="579">
        <v>1670763.1724358976</v>
      </c>
      <c r="G100" s="580">
        <v>1687143.1724358976</v>
      </c>
      <c r="H100" s="603">
        <v>262957.1205792831</v>
      </c>
      <c r="I100" s="579">
        <v>262957.1205792831</v>
      </c>
      <c r="J100" s="479">
        <f>+I100-H100</f>
        <v>0</v>
      </c>
      <c r="K100" s="479"/>
      <c r="L100" s="477">
        <f>H100</f>
        <v>262957.1205792831</v>
      </c>
      <c r="M100" s="349">
        <f>IF(L100&lt;&gt;0,+H100-L100,0)</f>
        <v>0</v>
      </c>
      <c r="N100" s="477">
        <f>I100</f>
        <v>262957.1205792831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2">IF(D101=F100,"","IU")</f>
        <v>IU</v>
      </c>
      <c r="C101" s="473">
        <f>IF(D93="","-",+C100+1)</f>
        <v>2016</v>
      </c>
      <c r="D101" s="579">
        <v>1692887</v>
      </c>
      <c r="E101" s="580">
        <v>37514</v>
      </c>
      <c r="F101" s="579">
        <v>1655373</v>
      </c>
      <c r="G101" s="580">
        <v>1674130</v>
      </c>
      <c r="H101" s="603">
        <v>250555.65084872485</v>
      </c>
      <c r="I101" s="579">
        <v>250555.65084872485</v>
      </c>
      <c r="J101" s="479">
        <f t="shared" ref="J101:J154" si="13">+I101-H101</f>
        <v>0</v>
      </c>
      <c r="K101" s="479"/>
      <c r="L101" s="477">
        <f>H101</f>
        <v>250555.65084872485</v>
      </c>
      <c r="M101" s="349">
        <f>IF(L101&lt;&gt;0,+H101-L101,0)</f>
        <v>0</v>
      </c>
      <c r="N101" s="477">
        <f>I101</f>
        <v>250555.65084872485</v>
      </c>
      <c r="O101" s="476">
        <f>IF(N101&lt;&gt;0,+I101-N101,0)</f>
        <v>0</v>
      </c>
      <c r="P101" s="479">
        <f>+O101-M101</f>
        <v>0</v>
      </c>
    </row>
    <row r="102" spans="1:16" ht="12.5">
      <c r="B102" s="160" t="str">
        <f t="shared" si="12"/>
        <v/>
      </c>
      <c r="C102" s="473">
        <f>IF(D93="","-",+C101+1)</f>
        <v>2017</v>
      </c>
      <c r="D102" s="579">
        <v>1655373</v>
      </c>
      <c r="E102" s="580">
        <v>37514</v>
      </c>
      <c r="F102" s="579">
        <v>1617859</v>
      </c>
      <c r="G102" s="580">
        <v>1636616</v>
      </c>
      <c r="H102" s="603">
        <v>245122.86632871011</v>
      </c>
      <c r="I102" s="579">
        <v>245122.86632871011</v>
      </c>
      <c r="J102" s="479">
        <f t="shared" si="13"/>
        <v>0</v>
      </c>
      <c r="K102" s="479"/>
      <c r="L102" s="477">
        <f>H102</f>
        <v>245122.86632871011</v>
      </c>
      <c r="M102" s="349">
        <f>IF(L102&lt;&gt;0,+H102-L102,0)</f>
        <v>0</v>
      </c>
      <c r="N102" s="477">
        <f>I102</f>
        <v>245122.86632871011</v>
      </c>
      <c r="O102" s="476">
        <f>IF(N102&lt;&gt;0,+I102-N102,0)</f>
        <v>0</v>
      </c>
      <c r="P102" s="479">
        <f>+O102-M102</f>
        <v>0</v>
      </c>
    </row>
    <row r="103" spans="1:16" ht="12.5">
      <c r="B103" s="160" t="str">
        <f t="shared" si="12"/>
        <v/>
      </c>
      <c r="C103" s="473">
        <f>IF(D93="","-",+C102+1)</f>
        <v>2018</v>
      </c>
      <c r="D103" s="579">
        <v>1617859</v>
      </c>
      <c r="E103" s="580">
        <v>40131</v>
      </c>
      <c r="F103" s="579">
        <v>1577728</v>
      </c>
      <c r="G103" s="580">
        <v>1597793.5</v>
      </c>
      <c r="H103" s="603">
        <v>204281.22089486517</v>
      </c>
      <c r="I103" s="579">
        <v>204281.22089486517</v>
      </c>
      <c r="J103" s="479">
        <f t="shared" si="13"/>
        <v>0</v>
      </c>
      <c r="K103" s="479"/>
      <c r="L103" s="477">
        <f>H103</f>
        <v>204281.22089486517</v>
      </c>
      <c r="M103" s="349">
        <f>IF(L103&lt;&gt;0,+H103-L103,0)</f>
        <v>0</v>
      </c>
      <c r="N103" s="477">
        <f>I103</f>
        <v>204281.22089486517</v>
      </c>
      <c r="O103" s="476">
        <f>IF(N103&lt;&gt;0,+I103-N103,0)</f>
        <v>0</v>
      </c>
      <c r="P103" s="479">
        <f>+O103-M103</f>
        <v>0</v>
      </c>
    </row>
    <row r="104" spans="1:16" ht="12.5">
      <c r="B104" s="160" t="str">
        <f t="shared" si="12"/>
        <v/>
      </c>
      <c r="C104" s="473">
        <f>IF(D93="","-",+C103+1)</f>
        <v>2019</v>
      </c>
      <c r="D104" s="347">
        <f>IF(F103+SUM(E$99:E103)=D$92,F103,D$92-SUM(E$99:E103))</f>
        <v>1577728</v>
      </c>
      <c r="E104" s="485">
        <f t="shared" ref="E104:E154" si="14">IF(+J$96&lt;F103,J$96,D104)</f>
        <v>42089</v>
      </c>
      <c r="F104" s="486">
        <f t="shared" ref="F104:F154" si="15">+D104-E104</f>
        <v>1535639</v>
      </c>
      <c r="G104" s="486">
        <f t="shared" ref="G104:G154" si="16">+(F104+D104)/2</f>
        <v>1556683.5</v>
      </c>
      <c r="H104" s="489">
        <f t="shared" ref="H104:H154" si="17">+J$94*G104+E104</f>
        <v>202604.90301828689</v>
      </c>
      <c r="I104" s="543">
        <f t="shared" ref="I104:I154" si="18">+J$95*G104+E104</f>
        <v>202604.90301828689</v>
      </c>
      <c r="J104" s="479">
        <f t="shared" si="13"/>
        <v>0</v>
      </c>
      <c r="K104" s="479"/>
      <c r="L104" s="488"/>
      <c r="M104" s="479">
        <f t="shared" ref="M104:M130" si="19">IF(L104&lt;&gt;0,+H104-L104,0)</f>
        <v>0</v>
      </c>
      <c r="N104" s="488"/>
      <c r="O104" s="479">
        <f t="shared" ref="O104:O130" si="20">IF(N104&lt;&gt;0,+I104-N104,0)</f>
        <v>0</v>
      </c>
      <c r="P104" s="479">
        <f t="shared" ref="P104:P130" si="21">+O104-M104</f>
        <v>0</v>
      </c>
    </row>
    <row r="105" spans="1:16" ht="12.5">
      <c r="B105" s="160" t="str">
        <f t="shared" si="12"/>
        <v/>
      </c>
      <c r="C105" s="473">
        <f>IF(D93="","-",+C104+1)</f>
        <v>2020</v>
      </c>
      <c r="D105" s="347">
        <f>IF(F104+SUM(E$99:E104)=D$92,F104,D$92-SUM(E$99:E104))</f>
        <v>1535639</v>
      </c>
      <c r="E105" s="485">
        <f t="shared" si="14"/>
        <v>42089</v>
      </c>
      <c r="F105" s="486">
        <f t="shared" si="15"/>
        <v>1493550</v>
      </c>
      <c r="G105" s="486">
        <f t="shared" si="16"/>
        <v>1514594.5</v>
      </c>
      <c r="H105" s="489">
        <f t="shared" si="17"/>
        <v>198264.93677457923</v>
      </c>
      <c r="I105" s="543">
        <f t="shared" si="18"/>
        <v>198264.93677457923</v>
      </c>
      <c r="J105" s="479">
        <f t="shared" si="13"/>
        <v>0</v>
      </c>
      <c r="K105" s="479"/>
      <c r="L105" s="488"/>
      <c r="M105" s="479">
        <f t="shared" si="19"/>
        <v>0</v>
      </c>
      <c r="N105" s="488"/>
      <c r="O105" s="479">
        <f t="shared" si="20"/>
        <v>0</v>
      </c>
      <c r="P105" s="479">
        <f t="shared" si="21"/>
        <v>0</v>
      </c>
    </row>
    <row r="106" spans="1:16" ht="12.5">
      <c r="B106" s="160" t="str">
        <f t="shared" si="12"/>
        <v/>
      </c>
      <c r="C106" s="473">
        <f>IF(D93="","-",+C105+1)</f>
        <v>2021</v>
      </c>
      <c r="D106" s="347">
        <f>IF(F105+SUM(E$99:E105)=D$92,F105,D$92-SUM(E$99:E105))</f>
        <v>1493550</v>
      </c>
      <c r="E106" s="485">
        <f t="shared" si="14"/>
        <v>42089</v>
      </c>
      <c r="F106" s="486">
        <f t="shared" si="15"/>
        <v>1451461</v>
      </c>
      <c r="G106" s="486">
        <f t="shared" si="16"/>
        <v>1472505.5</v>
      </c>
      <c r="H106" s="489">
        <f t="shared" si="17"/>
        <v>193924.97053087159</v>
      </c>
      <c r="I106" s="543">
        <f t="shared" si="18"/>
        <v>193924.97053087159</v>
      </c>
      <c r="J106" s="479">
        <f t="shared" si="13"/>
        <v>0</v>
      </c>
      <c r="K106" s="479"/>
      <c r="L106" s="488"/>
      <c r="M106" s="479">
        <f t="shared" si="19"/>
        <v>0</v>
      </c>
      <c r="N106" s="488"/>
      <c r="O106" s="479">
        <f t="shared" si="20"/>
        <v>0</v>
      </c>
      <c r="P106" s="479">
        <f t="shared" si="21"/>
        <v>0</v>
      </c>
    </row>
    <row r="107" spans="1:16" ht="12.5">
      <c r="B107" s="160" t="str">
        <f t="shared" si="12"/>
        <v/>
      </c>
      <c r="C107" s="473">
        <f>IF(D93="","-",+C106+1)</f>
        <v>2022</v>
      </c>
      <c r="D107" s="347">
        <f>IF(F106+SUM(E$99:E106)=D$92,F106,D$92-SUM(E$99:E106))</f>
        <v>1451461</v>
      </c>
      <c r="E107" s="485">
        <f t="shared" si="14"/>
        <v>42089</v>
      </c>
      <c r="F107" s="486">
        <f t="shared" si="15"/>
        <v>1409372</v>
      </c>
      <c r="G107" s="486">
        <f t="shared" si="16"/>
        <v>1430416.5</v>
      </c>
      <c r="H107" s="489">
        <f t="shared" si="17"/>
        <v>189585.00428716393</v>
      </c>
      <c r="I107" s="543">
        <f t="shared" si="18"/>
        <v>189585.00428716393</v>
      </c>
      <c r="J107" s="479">
        <f t="shared" si="13"/>
        <v>0</v>
      </c>
      <c r="K107" s="479"/>
      <c r="L107" s="488"/>
      <c r="M107" s="479">
        <f t="shared" si="19"/>
        <v>0</v>
      </c>
      <c r="N107" s="488"/>
      <c r="O107" s="479">
        <f t="shared" si="20"/>
        <v>0</v>
      </c>
      <c r="P107" s="479">
        <f t="shared" si="21"/>
        <v>0</v>
      </c>
    </row>
    <row r="108" spans="1:16" ht="12.5">
      <c r="B108" s="160" t="str">
        <f t="shared" si="12"/>
        <v/>
      </c>
      <c r="C108" s="473">
        <f>IF(D93="","-",+C107+1)</f>
        <v>2023</v>
      </c>
      <c r="D108" s="347">
        <f>IF(F107+SUM(E$99:E107)=D$92,F107,D$92-SUM(E$99:E107))</f>
        <v>1409372</v>
      </c>
      <c r="E108" s="485">
        <f t="shared" si="14"/>
        <v>42089</v>
      </c>
      <c r="F108" s="486">
        <f t="shared" si="15"/>
        <v>1367283</v>
      </c>
      <c r="G108" s="486">
        <f t="shared" si="16"/>
        <v>1388327.5</v>
      </c>
      <c r="H108" s="489">
        <f t="shared" si="17"/>
        <v>185245.0380434563</v>
      </c>
      <c r="I108" s="543">
        <f t="shared" si="18"/>
        <v>185245.0380434563</v>
      </c>
      <c r="J108" s="479">
        <f t="shared" si="13"/>
        <v>0</v>
      </c>
      <c r="K108" s="479"/>
      <c r="L108" s="488"/>
      <c r="M108" s="479">
        <f t="shared" si="19"/>
        <v>0</v>
      </c>
      <c r="N108" s="488"/>
      <c r="O108" s="479">
        <f t="shared" si="20"/>
        <v>0</v>
      </c>
      <c r="P108" s="479">
        <f t="shared" si="21"/>
        <v>0</v>
      </c>
    </row>
    <row r="109" spans="1:16" ht="12.5">
      <c r="B109" s="160" t="str">
        <f t="shared" si="12"/>
        <v/>
      </c>
      <c r="C109" s="473">
        <f>IF(D93="","-",+C108+1)</f>
        <v>2024</v>
      </c>
      <c r="D109" s="347">
        <f>IF(F108+SUM(E$99:E108)=D$92,F108,D$92-SUM(E$99:E108))</f>
        <v>1367283</v>
      </c>
      <c r="E109" s="485">
        <f t="shared" si="14"/>
        <v>42089</v>
      </c>
      <c r="F109" s="486">
        <f t="shared" si="15"/>
        <v>1325194</v>
      </c>
      <c r="G109" s="486">
        <f t="shared" si="16"/>
        <v>1346238.5</v>
      </c>
      <c r="H109" s="489">
        <f t="shared" si="17"/>
        <v>180905.07179974864</v>
      </c>
      <c r="I109" s="543">
        <f t="shared" si="18"/>
        <v>180905.07179974864</v>
      </c>
      <c r="J109" s="479">
        <f t="shared" si="13"/>
        <v>0</v>
      </c>
      <c r="K109" s="479"/>
      <c r="L109" s="488"/>
      <c r="M109" s="479">
        <f t="shared" si="19"/>
        <v>0</v>
      </c>
      <c r="N109" s="488"/>
      <c r="O109" s="479">
        <f t="shared" si="20"/>
        <v>0</v>
      </c>
      <c r="P109" s="479">
        <f t="shared" si="21"/>
        <v>0</v>
      </c>
    </row>
    <row r="110" spans="1:16" ht="12.5">
      <c r="B110" s="160" t="str">
        <f t="shared" si="12"/>
        <v/>
      </c>
      <c r="C110" s="473">
        <f>IF(D93="","-",+C109+1)</f>
        <v>2025</v>
      </c>
      <c r="D110" s="347">
        <f>IF(F109+SUM(E$99:E109)=D$92,F109,D$92-SUM(E$99:E109))</f>
        <v>1325194</v>
      </c>
      <c r="E110" s="485">
        <f t="shared" si="14"/>
        <v>42089</v>
      </c>
      <c r="F110" s="486">
        <f t="shared" si="15"/>
        <v>1283105</v>
      </c>
      <c r="G110" s="486">
        <f t="shared" si="16"/>
        <v>1304149.5</v>
      </c>
      <c r="H110" s="489">
        <f t="shared" si="17"/>
        <v>176565.105556041</v>
      </c>
      <c r="I110" s="543">
        <f t="shared" si="18"/>
        <v>176565.105556041</v>
      </c>
      <c r="J110" s="479">
        <f t="shared" si="13"/>
        <v>0</v>
      </c>
      <c r="K110" s="479"/>
      <c r="L110" s="488"/>
      <c r="M110" s="479">
        <f t="shared" si="19"/>
        <v>0</v>
      </c>
      <c r="N110" s="488"/>
      <c r="O110" s="479">
        <f t="shared" si="20"/>
        <v>0</v>
      </c>
      <c r="P110" s="479">
        <f t="shared" si="21"/>
        <v>0</v>
      </c>
    </row>
    <row r="111" spans="1:16" ht="12.5">
      <c r="B111" s="160" t="str">
        <f t="shared" si="12"/>
        <v/>
      </c>
      <c r="C111" s="473">
        <f>IF(D93="","-",+C110+1)</f>
        <v>2026</v>
      </c>
      <c r="D111" s="347">
        <f>IF(F110+SUM(E$99:E110)=D$92,F110,D$92-SUM(E$99:E110))</f>
        <v>1283105</v>
      </c>
      <c r="E111" s="485">
        <f t="shared" si="14"/>
        <v>42089</v>
      </c>
      <c r="F111" s="486">
        <f t="shared" si="15"/>
        <v>1241016</v>
      </c>
      <c r="G111" s="486">
        <f t="shared" si="16"/>
        <v>1262060.5</v>
      </c>
      <c r="H111" s="489">
        <f t="shared" si="17"/>
        <v>172225.13931233334</v>
      </c>
      <c r="I111" s="543">
        <f t="shared" si="18"/>
        <v>172225.13931233334</v>
      </c>
      <c r="J111" s="479">
        <f t="shared" si="13"/>
        <v>0</v>
      </c>
      <c r="K111" s="479"/>
      <c r="L111" s="488"/>
      <c r="M111" s="479">
        <f t="shared" si="19"/>
        <v>0</v>
      </c>
      <c r="N111" s="488"/>
      <c r="O111" s="479">
        <f t="shared" si="20"/>
        <v>0</v>
      </c>
      <c r="P111" s="479">
        <f t="shared" si="21"/>
        <v>0</v>
      </c>
    </row>
    <row r="112" spans="1:16" ht="12.5">
      <c r="B112" s="160" t="str">
        <f t="shared" si="12"/>
        <v/>
      </c>
      <c r="C112" s="473">
        <f>IF(D93="","-",+C111+1)</f>
        <v>2027</v>
      </c>
      <c r="D112" s="347">
        <f>IF(F111+SUM(E$99:E111)=D$92,F111,D$92-SUM(E$99:E111))</f>
        <v>1241016</v>
      </c>
      <c r="E112" s="485">
        <f t="shared" si="14"/>
        <v>42089</v>
      </c>
      <c r="F112" s="486">
        <f t="shared" si="15"/>
        <v>1198927</v>
      </c>
      <c r="G112" s="486">
        <f t="shared" si="16"/>
        <v>1219971.5</v>
      </c>
      <c r="H112" s="489">
        <f t="shared" si="17"/>
        <v>167885.17306862568</v>
      </c>
      <c r="I112" s="543">
        <f t="shared" si="18"/>
        <v>167885.17306862568</v>
      </c>
      <c r="J112" s="479">
        <f t="shared" si="13"/>
        <v>0</v>
      </c>
      <c r="K112" s="479"/>
      <c r="L112" s="488"/>
      <c r="M112" s="479">
        <f t="shared" si="19"/>
        <v>0</v>
      </c>
      <c r="N112" s="488"/>
      <c r="O112" s="479">
        <f t="shared" si="20"/>
        <v>0</v>
      </c>
      <c r="P112" s="479">
        <f t="shared" si="21"/>
        <v>0</v>
      </c>
    </row>
    <row r="113" spans="2:16" ht="12.5">
      <c r="B113" s="160" t="str">
        <f t="shared" si="12"/>
        <v/>
      </c>
      <c r="C113" s="473">
        <f>IF(D93="","-",+C112+1)</f>
        <v>2028</v>
      </c>
      <c r="D113" s="347">
        <f>IF(F112+SUM(E$99:E112)=D$92,F112,D$92-SUM(E$99:E112))</f>
        <v>1198927</v>
      </c>
      <c r="E113" s="485">
        <f t="shared" si="14"/>
        <v>42089</v>
      </c>
      <c r="F113" s="486">
        <f t="shared" si="15"/>
        <v>1156838</v>
      </c>
      <c r="G113" s="486">
        <f t="shared" si="16"/>
        <v>1177882.5</v>
      </c>
      <c r="H113" s="489">
        <f t="shared" si="17"/>
        <v>163545.20682491804</v>
      </c>
      <c r="I113" s="543">
        <f t="shared" si="18"/>
        <v>163545.20682491804</v>
      </c>
      <c r="J113" s="479">
        <f t="shared" si="13"/>
        <v>0</v>
      </c>
      <c r="K113" s="479"/>
      <c r="L113" s="488"/>
      <c r="M113" s="479">
        <f t="shared" si="19"/>
        <v>0</v>
      </c>
      <c r="N113" s="488"/>
      <c r="O113" s="479">
        <f t="shared" si="20"/>
        <v>0</v>
      </c>
      <c r="P113" s="479">
        <f t="shared" si="21"/>
        <v>0</v>
      </c>
    </row>
    <row r="114" spans="2:16" ht="12.5">
      <c r="B114" s="160" t="str">
        <f t="shared" si="12"/>
        <v/>
      </c>
      <c r="C114" s="473">
        <f>IF(D93="","-",+C113+1)</f>
        <v>2029</v>
      </c>
      <c r="D114" s="347">
        <f>IF(F113+SUM(E$99:E113)=D$92,F113,D$92-SUM(E$99:E113))</f>
        <v>1156838</v>
      </c>
      <c r="E114" s="485">
        <f t="shared" si="14"/>
        <v>42089</v>
      </c>
      <c r="F114" s="486">
        <f t="shared" si="15"/>
        <v>1114749</v>
      </c>
      <c r="G114" s="486">
        <f t="shared" si="16"/>
        <v>1135793.5</v>
      </c>
      <c r="H114" s="489">
        <f t="shared" si="17"/>
        <v>159205.24058121041</v>
      </c>
      <c r="I114" s="543">
        <f t="shared" si="18"/>
        <v>159205.24058121041</v>
      </c>
      <c r="J114" s="479">
        <f t="shared" si="13"/>
        <v>0</v>
      </c>
      <c r="K114" s="479"/>
      <c r="L114" s="488"/>
      <c r="M114" s="479">
        <f t="shared" si="19"/>
        <v>0</v>
      </c>
      <c r="N114" s="488"/>
      <c r="O114" s="479">
        <f t="shared" si="20"/>
        <v>0</v>
      </c>
      <c r="P114" s="479">
        <f t="shared" si="21"/>
        <v>0</v>
      </c>
    </row>
    <row r="115" spans="2:16" ht="12.5">
      <c r="B115" s="160" t="str">
        <f t="shared" si="12"/>
        <v/>
      </c>
      <c r="C115" s="473">
        <f>IF(D93="","-",+C114+1)</f>
        <v>2030</v>
      </c>
      <c r="D115" s="347">
        <f>IF(F114+SUM(E$99:E114)=D$92,F114,D$92-SUM(E$99:E114))</f>
        <v>1114749</v>
      </c>
      <c r="E115" s="485">
        <f t="shared" si="14"/>
        <v>42089</v>
      </c>
      <c r="F115" s="486">
        <f t="shared" si="15"/>
        <v>1072660</v>
      </c>
      <c r="G115" s="486">
        <f t="shared" si="16"/>
        <v>1093704.5</v>
      </c>
      <c r="H115" s="489">
        <f t="shared" si="17"/>
        <v>154865.27433750275</v>
      </c>
      <c r="I115" s="543">
        <f t="shared" si="18"/>
        <v>154865.27433750275</v>
      </c>
      <c r="J115" s="479">
        <f t="shared" si="13"/>
        <v>0</v>
      </c>
      <c r="K115" s="479"/>
      <c r="L115" s="488"/>
      <c r="M115" s="479">
        <f t="shared" si="19"/>
        <v>0</v>
      </c>
      <c r="N115" s="488"/>
      <c r="O115" s="479">
        <f t="shared" si="20"/>
        <v>0</v>
      </c>
      <c r="P115" s="479">
        <f t="shared" si="21"/>
        <v>0</v>
      </c>
    </row>
    <row r="116" spans="2:16" ht="12.5">
      <c r="B116" s="160" t="str">
        <f t="shared" si="12"/>
        <v/>
      </c>
      <c r="C116" s="473">
        <f>IF(D93="","-",+C115+1)</f>
        <v>2031</v>
      </c>
      <c r="D116" s="347">
        <f>IF(F115+SUM(E$99:E115)=D$92,F115,D$92-SUM(E$99:E115))</f>
        <v>1072660</v>
      </c>
      <c r="E116" s="485">
        <f t="shared" si="14"/>
        <v>42089</v>
      </c>
      <c r="F116" s="486">
        <f t="shared" si="15"/>
        <v>1030571</v>
      </c>
      <c r="G116" s="486">
        <f t="shared" si="16"/>
        <v>1051615.5</v>
      </c>
      <c r="H116" s="489">
        <f t="shared" si="17"/>
        <v>150525.30809379509</v>
      </c>
      <c r="I116" s="543">
        <f t="shared" si="18"/>
        <v>150525.30809379509</v>
      </c>
      <c r="J116" s="479">
        <f t="shared" si="13"/>
        <v>0</v>
      </c>
      <c r="K116" s="479"/>
      <c r="L116" s="488"/>
      <c r="M116" s="479">
        <f t="shared" si="19"/>
        <v>0</v>
      </c>
      <c r="N116" s="488"/>
      <c r="O116" s="479">
        <f t="shared" si="20"/>
        <v>0</v>
      </c>
      <c r="P116" s="479">
        <f t="shared" si="21"/>
        <v>0</v>
      </c>
    </row>
    <row r="117" spans="2:16" ht="12.5">
      <c r="B117" s="160" t="str">
        <f t="shared" si="12"/>
        <v/>
      </c>
      <c r="C117" s="473">
        <f>IF(D93="","-",+C116+1)</f>
        <v>2032</v>
      </c>
      <c r="D117" s="347">
        <f>IF(F116+SUM(E$99:E116)=D$92,F116,D$92-SUM(E$99:E116))</f>
        <v>1030571</v>
      </c>
      <c r="E117" s="485">
        <f t="shared" si="14"/>
        <v>42089</v>
      </c>
      <c r="F117" s="486">
        <f t="shared" si="15"/>
        <v>988482</v>
      </c>
      <c r="G117" s="486">
        <f t="shared" si="16"/>
        <v>1009526.5</v>
      </c>
      <c r="H117" s="489">
        <f t="shared" si="17"/>
        <v>146185.34185008745</v>
      </c>
      <c r="I117" s="543">
        <f t="shared" si="18"/>
        <v>146185.34185008745</v>
      </c>
      <c r="J117" s="479">
        <f t="shared" si="13"/>
        <v>0</v>
      </c>
      <c r="K117" s="479"/>
      <c r="L117" s="488"/>
      <c r="M117" s="479">
        <f t="shared" si="19"/>
        <v>0</v>
      </c>
      <c r="N117" s="488"/>
      <c r="O117" s="479">
        <f t="shared" si="20"/>
        <v>0</v>
      </c>
      <c r="P117" s="479">
        <f t="shared" si="21"/>
        <v>0</v>
      </c>
    </row>
    <row r="118" spans="2:16" ht="12.5">
      <c r="B118" s="160" t="str">
        <f t="shared" si="12"/>
        <v/>
      </c>
      <c r="C118" s="473">
        <f>IF(D93="","-",+C117+1)</f>
        <v>2033</v>
      </c>
      <c r="D118" s="347">
        <f>IF(F117+SUM(E$99:E117)=D$92,F117,D$92-SUM(E$99:E117))</f>
        <v>988482</v>
      </c>
      <c r="E118" s="485">
        <f t="shared" si="14"/>
        <v>42089</v>
      </c>
      <c r="F118" s="486">
        <f t="shared" si="15"/>
        <v>946393</v>
      </c>
      <c r="G118" s="486">
        <f t="shared" si="16"/>
        <v>967437.5</v>
      </c>
      <c r="H118" s="489">
        <f t="shared" si="17"/>
        <v>141845.37560637979</v>
      </c>
      <c r="I118" s="543">
        <f t="shared" si="18"/>
        <v>141845.37560637979</v>
      </c>
      <c r="J118" s="479">
        <f t="shared" si="13"/>
        <v>0</v>
      </c>
      <c r="K118" s="479"/>
      <c r="L118" s="488"/>
      <c r="M118" s="479">
        <f t="shared" si="19"/>
        <v>0</v>
      </c>
      <c r="N118" s="488"/>
      <c r="O118" s="479">
        <f t="shared" si="20"/>
        <v>0</v>
      </c>
      <c r="P118" s="479">
        <f t="shared" si="21"/>
        <v>0</v>
      </c>
    </row>
    <row r="119" spans="2:16" ht="12.5">
      <c r="B119" s="160" t="str">
        <f t="shared" si="12"/>
        <v/>
      </c>
      <c r="C119" s="473">
        <f>IF(D93="","-",+C118+1)</f>
        <v>2034</v>
      </c>
      <c r="D119" s="347">
        <f>IF(F118+SUM(E$99:E118)=D$92,F118,D$92-SUM(E$99:E118))</f>
        <v>946393</v>
      </c>
      <c r="E119" s="485">
        <f t="shared" si="14"/>
        <v>42089</v>
      </c>
      <c r="F119" s="486">
        <f t="shared" si="15"/>
        <v>904304</v>
      </c>
      <c r="G119" s="486">
        <f t="shared" si="16"/>
        <v>925348.5</v>
      </c>
      <c r="H119" s="489">
        <f t="shared" si="17"/>
        <v>137505.40936267213</v>
      </c>
      <c r="I119" s="543">
        <f t="shared" si="18"/>
        <v>137505.40936267213</v>
      </c>
      <c r="J119" s="479">
        <f t="shared" si="13"/>
        <v>0</v>
      </c>
      <c r="K119" s="479"/>
      <c r="L119" s="488"/>
      <c r="M119" s="479">
        <f t="shared" si="19"/>
        <v>0</v>
      </c>
      <c r="N119" s="488"/>
      <c r="O119" s="479">
        <f t="shared" si="20"/>
        <v>0</v>
      </c>
      <c r="P119" s="479">
        <f t="shared" si="21"/>
        <v>0</v>
      </c>
    </row>
    <row r="120" spans="2:16" ht="12.5">
      <c r="B120" s="160" t="str">
        <f t="shared" si="12"/>
        <v/>
      </c>
      <c r="C120" s="473">
        <f>IF(D93="","-",+C119+1)</f>
        <v>2035</v>
      </c>
      <c r="D120" s="347">
        <f>IF(F119+SUM(E$99:E119)=D$92,F119,D$92-SUM(E$99:E119))</f>
        <v>904304</v>
      </c>
      <c r="E120" s="485">
        <f t="shared" si="14"/>
        <v>42089</v>
      </c>
      <c r="F120" s="486">
        <f t="shared" si="15"/>
        <v>862215</v>
      </c>
      <c r="G120" s="486">
        <f t="shared" si="16"/>
        <v>883259.5</v>
      </c>
      <c r="H120" s="489">
        <f t="shared" si="17"/>
        <v>133165.4431189645</v>
      </c>
      <c r="I120" s="543">
        <f t="shared" si="18"/>
        <v>133165.4431189645</v>
      </c>
      <c r="J120" s="479">
        <f t="shared" si="13"/>
        <v>0</v>
      </c>
      <c r="K120" s="479"/>
      <c r="L120" s="488"/>
      <c r="M120" s="479">
        <f t="shared" si="19"/>
        <v>0</v>
      </c>
      <c r="N120" s="488"/>
      <c r="O120" s="479">
        <f t="shared" si="20"/>
        <v>0</v>
      </c>
      <c r="P120" s="479">
        <f t="shared" si="21"/>
        <v>0</v>
      </c>
    </row>
    <row r="121" spans="2:16" ht="12.5">
      <c r="B121" s="160" t="str">
        <f t="shared" si="12"/>
        <v/>
      </c>
      <c r="C121" s="473">
        <f>IF(D93="","-",+C120+1)</f>
        <v>2036</v>
      </c>
      <c r="D121" s="347">
        <f>IF(F120+SUM(E$99:E120)=D$92,F120,D$92-SUM(E$99:E120))</f>
        <v>862215</v>
      </c>
      <c r="E121" s="485">
        <f t="shared" si="14"/>
        <v>42089</v>
      </c>
      <c r="F121" s="486">
        <f t="shared" si="15"/>
        <v>820126</v>
      </c>
      <c r="G121" s="486">
        <f t="shared" si="16"/>
        <v>841170.5</v>
      </c>
      <c r="H121" s="489">
        <f t="shared" si="17"/>
        <v>128825.47687525685</v>
      </c>
      <c r="I121" s="543">
        <f t="shared" si="18"/>
        <v>128825.47687525685</v>
      </c>
      <c r="J121" s="479">
        <f t="shared" si="13"/>
        <v>0</v>
      </c>
      <c r="K121" s="479"/>
      <c r="L121" s="488"/>
      <c r="M121" s="479">
        <f t="shared" si="19"/>
        <v>0</v>
      </c>
      <c r="N121" s="488"/>
      <c r="O121" s="479">
        <f t="shared" si="20"/>
        <v>0</v>
      </c>
      <c r="P121" s="479">
        <f t="shared" si="21"/>
        <v>0</v>
      </c>
    </row>
    <row r="122" spans="2:16" ht="12.5">
      <c r="B122" s="160" t="str">
        <f t="shared" si="12"/>
        <v/>
      </c>
      <c r="C122" s="473">
        <f>IF(D93="","-",+C121+1)</f>
        <v>2037</v>
      </c>
      <c r="D122" s="347">
        <f>IF(F121+SUM(E$99:E121)=D$92,F121,D$92-SUM(E$99:E121))</f>
        <v>820126</v>
      </c>
      <c r="E122" s="485">
        <f t="shared" si="14"/>
        <v>42089</v>
      </c>
      <c r="F122" s="486">
        <f t="shared" si="15"/>
        <v>778037</v>
      </c>
      <c r="G122" s="486">
        <f t="shared" si="16"/>
        <v>799081.5</v>
      </c>
      <c r="H122" s="489">
        <f t="shared" si="17"/>
        <v>124485.5106315492</v>
      </c>
      <c r="I122" s="543">
        <f t="shared" si="18"/>
        <v>124485.5106315492</v>
      </c>
      <c r="J122" s="479">
        <f t="shared" si="13"/>
        <v>0</v>
      </c>
      <c r="K122" s="479"/>
      <c r="L122" s="488"/>
      <c r="M122" s="479">
        <f t="shared" si="19"/>
        <v>0</v>
      </c>
      <c r="N122" s="488"/>
      <c r="O122" s="479">
        <f t="shared" si="20"/>
        <v>0</v>
      </c>
      <c r="P122" s="479">
        <f t="shared" si="21"/>
        <v>0</v>
      </c>
    </row>
    <row r="123" spans="2:16" ht="12.5">
      <c r="B123" s="160" t="str">
        <f t="shared" si="12"/>
        <v/>
      </c>
      <c r="C123" s="473">
        <f>IF(D93="","-",+C122+1)</f>
        <v>2038</v>
      </c>
      <c r="D123" s="347">
        <f>IF(F122+SUM(E$99:E122)=D$92,F122,D$92-SUM(E$99:E122))</f>
        <v>778037</v>
      </c>
      <c r="E123" s="485">
        <f t="shared" si="14"/>
        <v>42089</v>
      </c>
      <c r="F123" s="486">
        <f t="shared" si="15"/>
        <v>735948</v>
      </c>
      <c r="G123" s="486">
        <f t="shared" si="16"/>
        <v>756992.5</v>
      </c>
      <c r="H123" s="489">
        <f t="shared" si="17"/>
        <v>120145.54438784155</v>
      </c>
      <c r="I123" s="543">
        <f t="shared" si="18"/>
        <v>120145.54438784155</v>
      </c>
      <c r="J123" s="479">
        <f t="shared" si="13"/>
        <v>0</v>
      </c>
      <c r="K123" s="479"/>
      <c r="L123" s="488"/>
      <c r="M123" s="479">
        <f t="shared" si="19"/>
        <v>0</v>
      </c>
      <c r="N123" s="488"/>
      <c r="O123" s="479">
        <f t="shared" si="20"/>
        <v>0</v>
      </c>
      <c r="P123" s="479">
        <f t="shared" si="21"/>
        <v>0</v>
      </c>
    </row>
    <row r="124" spans="2:16" ht="12.5">
      <c r="B124" s="160" t="str">
        <f t="shared" si="12"/>
        <v/>
      </c>
      <c r="C124" s="473">
        <f>IF(D93="","-",+C123+1)</f>
        <v>2039</v>
      </c>
      <c r="D124" s="347">
        <f>IF(F123+SUM(E$99:E123)=D$92,F123,D$92-SUM(E$99:E123))</f>
        <v>735948</v>
      </c>
      <c r="E124" s="485">
        <f t="shared" si="14"/>
        <v>42089</v>
      </c>
      <c r="F124" s="486">
        <f t="shared" si="15"/>
        <v>693859</v>
      </c>
      <c r="G124" s="486">
        <f t="shared" si="16"/>
        <v>714903.5</v>
      </c>
      <c r="H124" s="489">
        <f t="shared" si="17"/>
        <v>115805.57814413389</v>
      </c>
      <c r="I124" s="543">
        <f t="shared" si="18"/>
        <v>115805.57814413389</v>
      </c>
      <c r="J124" s="479">
        <f t="shared" si="13"/>
        <v>0</v>
      </c>
      <c r="K124" s="479"/>
      <c r="L124" s="488"/>
      <c r="M124" s="479">
        <f t="shared" si="19"/>
        <v>0</v>
      </c>
      <c r="N124" s="488"/>
      <c r="O124" s="479">
        <f t="shared" si="20"/>
        <v>0</v>
      </c>
      <c r="P124" s="479">
        <f t="shared" si="21"/>
        <v>0</v>
      </c>
    </row>
    <row r="125" spans="2:16" ht="12.5">
      <c r="B125" s="160" t="str">
        <f t="shared" si="12"/>
        <v/>
      </c>
      <c r="C125" s="473">
        <f>IF(D93="","-",+C124+1)</f>
        <v>2040</v>
      </c>
      <c r="D125" s="347">
        <f>IF(F124+SUM(E$99:E124)=D$92,F124,D$92-SUM(E$99:E124))</f>
        <v>693859</v>
      </c>
      <c r="E125" s="485">
        <f t="shared" si="14"/>
        <v>42089</v>
      </c>
      <c r="F125" s="486">
        <f t="shared" si="15"/>
        <v>651770</v>
      </c>
      <c r="G125" s="486">
        <f t="shared" si="16"/>
        <v>672814.5</v>
      </c>
      <c r="H125" s="489">
        <f t="shared" si="17"/>
        <v>111465.61190042624</v>
      </c>
      <c r="I125" s="543">
        <f t="shared" si="18"/>
        <v>111465.61190042624</v>
      </c>
      <c r="J125" s="479">
        <f t="shared" si="13"/>
        <v>0</v>
      </c>
      <c r="K125" s="479"/>
      <c r="L125" s="488"/>
      <c r="M125" s="479">
        <f t="shared" si="19"/>
        <v>0</v>
      </c>
      <c r="N125" s="488"/>
      <c r="O125" s="479">
        <f t="shared" si="20"/>
        <v>0</v>
      </c>
      <c r="P125" s="479">
        <f t="shared" si="21"/>
        <v>0</v>
      </c>
    </row>
    <row r="126" spans="2:16" ht="12.5">
      <c r="B126" s="160" t="str">
        <f t="shared" si="12"/>
        <v/>
      </c>
      <c r="C126" s="473">
        <f>IF(D93="","-",+C125+1)</f>
        <v>2041</v>
      </c>
      <c r="D126" s="347">
        <f>IF(F125+SUM(E$99:E125)=D$92,F125,D$92-SUM(E$99:E125))</f>
        <v>651770</v>
      </c>
      <c r="E126" s="485">
        <f t="shared" si="14"/>
        <v>42089</v>
      </c>
      <c r="F126" s="486">
        <f t="shared" si="15"/>
        <v>609681</v>
      </c>
      <c r="G126" s="486">
        <f t="shared" si="16"/>
        <v>630725.5</v>
      </c>
      <c r="H126" s="489">
        <f t="shared" si="17"/>
        <v>107125.6456567186</v>
      </c>
      <c r="I126" s="543">
        <f t="shared" si="18"/>
        <v>107125.6456567186</v>
      </c>
      <c r="J126" s="479">
        <f t="shared" si="13"/>
        <v>0</v>
      </c>
      <c r="K126" s="479"/>
      <c r="L126" s="488"/>
      <c r="M126" s="479">
        <f t="shared" si="19"/>
        <v>0</v>
      </c>
      <c r="N126" s="488"/>
      <c r="O126" s="479">
        <f t="shared" si="20"/>
        <v>0</v>
      </c>
      <c r="P126" s="479">
        <f t="shared" si="21"/>
        <v>0</v>
      </c>
    </row>
    <row r="127" spans="2:16" ht="12.5">
      <c r="B127" s="160" t="str">
        <f t="shared" si="12"/>
        <v/>
      </c>
      <c r="C127" s="473">
        <f>IF(D93="","-",+C126+1)</f>
        <v>2042</v>
      </c>
      <c r="D127" s="347">
        <f>IF(F126+SUM(E$99:E126)=D$92,F126,D$92-SUM(E$99:E126))</f>
        <v>609681</v>
      </c>
      <c r="E127" s="485">
        <f t="shared" si="14"/>
        <v>42089</v>
      </c>
      <c r="F127" s="486">
        <f t="shared" si="15"/>
        <v>567592</v>
      </c>
      <c r="G127" s="486">
        <f t="shared" si="16"/>
        <v>588636.5</v>
      </c>
      <c r="H127" s="489">
        <f t="shared" si="17"/>
        <v>102785.67941301095</v>
      </c>
      <c r="I127" s="543">
        <f t="shared" si="18"/>
        <v>102785.67941301095</v>
      </c>
      <c r="J127" s="479">
        <f t="shared" si="13"/>
        <v>0</v>
      </c>
      <c r="K127" s="479"/>
      <c r="L127" s="488"/>
      <c r="M127" s="479">
        <f t="shared" si="19"/>
        <v>0</v>
      </c>
      <c r="N127" s="488"/>
      <c r="O127" s="479">
        <f t="shared" si="20"/>
        <v>0</v>
      </c>
      <c r="P127" s="479">
        <f t="shared" si="21"/>
        <v>0</v>
      </c>
    </row>
    <row r="128" spans="2:16" ht="12.5">
      <c r="B128" s="160" t="str">
        <f t="shared" si="12"/>
        <v/>
      </c>
      <c r="C128" s="473">
        <f>IF(D93="","-",+C127+1)</f>
        <v>2043</v>
      </c>
      <c r="D128" s="347">
        <f>IF(F127+SUM(E$99:E127)=D$92,F127,D$92-SUM(E$99:E127))</f>
        <v>567592</v>
      </c>
      <c r="E128" s="485">
        <f t="shared" si="14"/>
        <v>42089</v>
      </c>
      <c r="F128" s="486">
        <f t="shared" si="15"/>
        <v>525503</v>
      </c>
      <c r="G128" s="486">
        <f t="shared" si="16"/>
        <v>546547.5</v>
      </c>
      <c r="H128" s="489">
        <f t="shared" si="17"/>
        <v>98445.713169303301</v>
      </c>
      <c r="I128" s="543">
        <f t="shared" si="18"/>
        <v>98445.713169303301</v>
      </c>
      <c r="J128" s="479">
        <f t="shared" si="13"/>
        <v>0</v>
      </c>
      <c r="K128" s="479"/>
      <c r="L128" s="488"/>
      <c r="M128" s="479">
        <f t="shared" si="19"/>
        <v>0</v>
      </c>
      <c r="N128" s="488"/>
      <c r="O128" s="479">
        <f t="shared" si="20"/>
        <v>0</v>
      </c>
      <c r="P128" s="479">
        <f t="shared" si="21"/>
        <v>0</v>
      </c>
    </row>
    <row r="129" spans="2:16" ht="12.5">
      <c r="B129" s="160" t="str">
        <f t="shared" si="12"/>
        <v/>
      </c>
      <c r="C129" s="473">
        <f>IF(D93="","-",+C128+1)</f>
        <v>2044</v>
      </c>
      <c r="D129" s="347">
        <f>IF(F128+SUM(E$99:E128)=D$92,F128,D$92-SUM(E$99:E128))</f>
        <v>525503</v>
      </c>
      <c r="E129" s="485">
        <f t="shared" si="14"/>
        <v>42089</v>
      </c>
      <c r="F129" s="486">
        <f t="shared" si="15"/>
        <v>483414</v>
      </c>
      <c r="G129" s="486">
        <f t="shared" si="16"/>
        <v>504458.5</v>
      </c>
      <c r="H129" s="489">
        <f t="shared" si="17"/>
        <v>94105.746925595653</v>
      </c>
      <c r="I129" s="543">
        <f t="shared" si="18"/>
        <v>94105.746925595653</v>
      </c>
      <c r="J129" s="479">
        <f t="shared" si="13"/>
        <v>0</v>
      </c>
      <c r="K129" s="479"/>
      <c r="L129" s="488"/>
      <c r="M129" s="479">
        <f t="shared" si="19"/>
        <v>0</v>
      </c>
      <c r="N129" s="488"/>
      <c r="O129" s="479">
        <f t="shared" si="20"/>
        <v>0</v>
      </c>
      <c r="P129" s="479">
        <f t="shared" si="21"/>
        <v>0</v>
      </c>
    </row>
    <row r="130" spans="2:16" ht="12.5">
      <c r="B130" s="160" t="str">
        <f t="shared" si="12"/>
        <v/>
      </c>
      <c r="C130" s="473">
        <f>IF(D93="","-",+C129+1)</f>
        <v>2045</v>
      </c>
      <c r="D130" s="347">
        <f>IF(F129+SUM(E$99:E129)=D$92,F129,D$92-SUM(E$99:E129))</f>
        <v>483414</v>
      </c>
      <c r="E130" s="485">
        <f t="shared" si="14"/>
        <v>42089</v>
      </c>
      <c r="F130" s="486">
        <f t="shared" si="15"/>
        <v>441325</v>
      </c>
      <c r="G130" s="486">
        <f t="shared" si="16"/>
        <v>462369.5</v>
      </c>
      <c r="H130" s="489">
        <f t="shared" si="17"/>
        <v>89765.780681887991</v>
      </c>
      <c r="I130" s="543">
        <f t="shared" si="18"/>
        <v>89765.780681887991</v>
      </c>
      <c r="J130" s="479">
        <f t="shared" si="13"/>
        <v>0</v>
      </c>
      <c r="K130" s="479"/>
      <c r="L130" s="488"/>
      <c r="M130" s="479">
        <f t="shared" si="19"/>
        <v>0</v>
      </c>
      <c r="N130" s="488"/>
      <c r="O130" s="479">
        <f t="shared" si="20"/>
        <v>0</v>
      </c>
      <c r="P130" s="479">
        <f t="shared" si="21"/>
        <v>0</v>
      </c>
    </row>
    <row r="131" spans="2:16" ht="12.5">
      <c r="B131" s="160" t="str">
        <f t="shared" si="12"/>
        <v/>
      </c>
      <c r="C131" s="473">
        <f>IF(D93="","-",+C130+1)</f>
        <v>2046</v>
      </c>
      <c r="D131" s="347">
        <f>IF(F130+SUM(E$99:E130)=D$92,F130,D$92-SUM(E$99:E130))</f>
        <v>441325</v>
      </c>
      <c r="E131" s="485">
        <f t="shared" si="14"/>
        <v>42089</v>
      </c>
      <c r="F131" s="486">
        <f t="shared" si="15"/>
        <v>399236</v>
      </c>
      <c r="G131" s="486">
        <f t="shared" si="16"/>
        <v>420280.5</v>
      </c>
      <c r="H131" s="489">
        <f t="shared" si="17"/>
        <v>85425.814438180358</v>
      </c>
      <c r="I131" s="543">
        <f t="shared" si="18"/>
        <v>85425.814438180358</v>
      </c>
      <c r="J131" s="479">
        <f t="shared" si="13"/>
        <v>0</v>
      </c>
      <c r="K131" s="479"/>
      <c r="L131" s="488"/>
      <c r="M131" s="479">
        <f t="shared" ref="M131:M154" si="22">IF(L541&lt;&gt;0,+H541-L541,0)</f>
        <v>0</v>
      </c>
      <c r="N131" s="488"/>
      <c r="O131" s="479">
        <f t="shared" ref="O131:O154" si="23">IF(N541&lt;&gt;0,+I541-N541,0)</f>
        <v>0</v>
      </c>
      <c r="P131" s="479">
        <f t="shared" ref="P131:P154" si="24">+O541-M541</f>
        <v>0</v>
      </c>
    </row>
    <row r="132" spans="2:16" ht="12.5">
      <c r="B132" s="160" t="str">
        <f t="shared" si="12"/>
        <v/>
      </c>
      <c r="C132" s="473">
        <f>IF(D93="","-",+C131+1)</f>
        <v>2047</v>
      </c>
      <c r="D132" s="347">
        <f>IF(F131+SUM(E$99:E131)=D$92,F131,D$92-SUM(E$99:E131))</f>
        <v>399236</v>
      </c>
      <c r="E132" s="485">
        <f t="shared" si="14"/>
        <v>42089</v>
      </c>
      <c r="F132" s="486">
        <f t="shared" si="15"/>
        <v>357147</v>
      </c>
      <c r="G132" s="486">
        <f t="shared" si="16"/>
        <v>378191.5</v>
      </c>
      <c r="H132" s="489">
        <f t="shared" si="17"/>
        <v>81085.848194472695</v>
      </c>
      <c r="I132" s="543">
        <f t="shared" si="18"/>
        <v>81085.848194472695</v>
      </c>
      <c r="J132" s="479">
        <f t="shared" si="13"/>
        <v>0</v>
      </c>
      <c r="K132" s="479"/>
      <c r="L132" s="488"/>
      <c r="M132" s="479">
        <f t="shared" si="22"/>
        <v>0</v>
      </c>
      <c r="N132" s="488"/>
      <c r="O132" s="479">
        <f t="shared" si="23"/>
        <v>0</v>
      </c>
      <c r="P132" s="479">
        <f t="shared" si="24"/>
        <v>0</v>
      </c>
    </row>
    <row r="133" spans="2:16" ht="12.5">
      <c r="B133" s="160" t="str">
        <f t="shared" si="12"/>
        <v/>
      </c>
      <c r="C133" s="473">
        <f>IF(D93="","-",+C132+1)</f>
        <v>2048</v>
      </c>
      <c r="D133" s="347">
        <f>IF(F132+SUM(E$99:E132)=D$92,F132,D$92-SUM(E$99:E132))</f>
        <v>357147</v>
      </c>
      <c r="E133" s="485">
        <f t="shared" si="14"/>
        <v>42089</v>
      </c>
      <c r="F133" s="486">
        <f t="shared" si="15"/>
        <v>315058</v>
      </c>
      <c r="G133" s="486">
        <f t="shared" si="16"/>
        <v>336102.5</v>
      </c>
      <c r="H133" s="489">
        <f t="shared" si="17"/>
        <v>76745.881950765062</v>
      </c>
      <c r="I133" s="543">
        <f t="shared" si="18"/>
        <v>76745.881950765062</v>
      </c>
      <c r="J133" s="479">
        <f t="shared" si="13"/>
        <v>0</v>
      </c>
      <c r="K133" s="479"/>
      <c r="L133" s="488"/>
      <c r="M133" s="479">
        <f t="shared" si="22"/>
        <v>0</v>
      </c>
      <c r="N133" s="488"/>
      <c r="O133" s="479">
        <f t="shared" si="23"/>
        <v>0</v>
      </c>
      <c r="P133" s="479">
        <f t="shared" si="24"/>
        <v>0</v>
      </c>
    </row>
    <row r="134" spans="2:16" ht="12.5">
      <c r="B134" s="160" t="str">
        <f t="shared" si="12"/>
        <v/>
      </c>
      <c r="C134" s="473">
        <f>IF(D93="","-",+C133+1)</f>
        <v>2049</v>
      </c>
      <c r="D134" s="347">
        <f>IF(F133+SUM(E$99:E133)=D$92,F133,D$92-SUM(E$99:E133))</f>
        <v>315058</v>
      </c>
      <c r="E134" s="485">
        <f t="shared" si="14"/>
        <v>42089</v>
      </c>
      <c r="F134" s="486">
        <f t="shared" si="15"/>
        <v>272969</v>
      </c>
      <c r="G134" s="486">
        <f t="shared" si="16"/>
        <v>294013.5</v>
      </c>
      <c r="H134" s="489">
        <f t="shared" si="17"/>
        <v>72405.9157070574</v>
      </c>
      <c r="I134" s="543">
        <f t="shared" si="18"/>
        <v>72405.9157070574</v>
      </c>
      <c r="J134" s="479">
        <f t="shared" si="13"/>
        <v>0</v>
      </c>
      <c r="K134" s="479"/>
      <c r="L134" s="488"/>
      <c r="M134" s="479">
        <f t="shared" si="22"/>
        <v>0</v>
      </c>
      <c r="N134" s="488"/>
      <c r="O134" s="479">
        <f t="shared" si="23"/>
        <v>0</v>
      </c>
      <c r="P134" s="479">
        <f t="shared" si="24"/>
        <v>0</v>
      </c>
    </row>
    <row r="135" spans="2:16" ht="12.5">
      <c r="B135" s="160" t="str">
        <f t="shared" si="12"/>
        <v/>
      </c>
      <c r="C135" s="473">
        <f>IF(D93="","-",+C134+1)</f>
        <v>2050</v>
      </c>
      <c r="D135" s="347">
        <f>IF(F134+SUM(E$99:E134)=D$92,F134,D$92-SUM(E$99:E134))</f>
        <v>272969</v>
      </c>
      <c r="E135" s="485">
        <f t="shared" si="14"/>
        <v>42089</v>
      </c>
      <c r="F135" s="486">
        <f t="shared" si="15"/>
        <v>230880</v>
      </c>
      <c r="G135" s="486">
        <f t="shared" si="16"/>
        <v>251924.5</v>
      </c>
      <c r="H135" s="489">
        <f t="shared" si="17"/>
        <v>68065.949463349752</v>
      </c>
      <c r="I135" s="543">
        <f t="shared" si="18"/>
        <v>68065.949463349752</v>
      </c>
      <c r="J135" s="479">
        <f t="shared" si="13"/>
        <v>0</v>
      </c>
      <c r="K135" s="479"/>
      <c r="L135" s="488"/>
      <c r="M135" s="479">
        <f t="shared" si="22"/>
        <v>0</v>
      </c>
      <c r="N135" s="488"/>
      <c r="O135" s="479">
        <f t="shared" si="23"/>
        <v>0</v>
      </c>
      <c r="P135" s="479">
        <f t="shared" si="24"/>
        <v>0</v>
      </c>
    </row>
    <row r="136" spans="2:16" ht="12.5">
      <c r="B136" s="160" t="str">
        <f t="shared" si="12"/>
        <v/>
      </c>
      <c r="C136" s="473">
        <f>IF(D93="","-",+C135+1)</f>
        <v>2051</v>
      </c>
      <c r="D136" s="347">
        <f>IF(F135+SUM(E$99:E135)=D$92,F135,D$92-SUM(E$99:E135))</f>
        <v>230880</v>
      </c>
      <c r="E136" s="485">
        <f t="shared" si="14"/>
        <v>42089</v>
      </c>
      <c r="F136" s="486">
        <f t="shared" si="15"/>
        <v>188791</v>
      </c>
      <c r="G136" s="486">
        <f t="shared" si="16"/>
        <v>209835.5</v>
      </c>
      <c r="H136" s="489">
        <f t="shared" si="17"/>
        <v>63725.983219642105</v>
      </c>
      <c r="I136" s="543">
        <f t="shared" si="18"/>
        <v>63725.983219642105</v>
      </c>
      <c r="J136" s="479">
        <f t="shared" si="13"/>
        <v>0</v>
      </c>
      <c r="K136" s="479"/>
      <c r="L136" s="488"/>
      <c r="M136" s="479">
        <f t="shared" si="22"/>
        <v>0</v>
      </c>
      <c r="N136" s="488"/>
      <c r="O136" s="479">
        <f t="shared" si="23"/>
        <v>0</v>
      </c>
      <c r="P136" s="479">
        <f t="shared" si="24"/>
        <v>0</v>
      </c>
    </row>
    <row r="137" spans="2:16" ht="12.5">
      <c r="B137" s="160" t="str">
        <f t="shared" si="12"/>
        <v/>
      </c>
      <c r="C137" s="473">
        <f>IF(D93="","-",+C136+1)</f>
        <v>2052</v>
      </c>
      <c r="D137" s="347">
        <f>IF(F136+SUM(E$99:E136)=D$92,F136,D$92-SUM(E$99:E136))</f>
        <v>188791</v>
      </c>
      <c r="E137" s="485">
        <f t="shared" si="14"/>
        <v>42089</v>
      </c>
      <c r="F137" s="486">
        <f t="shared" si="15"/>
        <v>146702</v>
      </c>
      <c r="G137" s="486">
        <f t="shared" si="16"/>
        <v>167746.5</v>
      </c>
      <c r="H137" s="489">
        <f t="shared" si="17"/>
        <v>59386.016975934457</v>
      </c>
      <c r="I137" s="543">
        <f t="shared" si="18"/>
        <v>59386.016975934457</v>
      </c>
      <c r="J137" s="479">
        <f t="shared" si="13"/>
        <v>0</v>
      </c>
      <c r="K137" s="479"/>
      <c r="L137" s="488"/>
      <c r="M137" s="479">
        <f t="shared" si="22"/>
        <v>0</v>
      </c>
      <c r="N137" s="488"/>
      <c r="O137" s="479">
        <f t="shared" si="23"/>
        <v>0</v>
      </c>
      <c r="P137" s="479">
        <f t="shared" si="24"/>
        <v>0</v>
      </c>
    </row>
    <row r="138" spans="2:16" ht="12.5">
      <c r="B138" s="160" t="str">
        <f t="shared" si="12"/>
        <v/>
      </c>
      <c r="C138" s="473">
        <f>IF(D93="","-",+C137+1)</f>
        <v>2053</v>
      </c>
      <c r="D138" s="347">
        <f>IF(F137+SUM(E$99:E137)=D$92,F137,D$92-SUM(E$99:E137))</f>
        <v>146702</v>
      </c>
      <c r="E138" s="485">
        <f t="shared" si="14"/>
        <v>42089</v>
      </c>
      <c r="F138" s="486">
        <f t="shared" si="15"/>
        <v>104613</v>
      </c>
      <c r="G138" s="486">
        <f t="shared" si="16"/>
        <v>125657.5</v>
      </c>
      <c r="H138" s="489">
        <f t="shared" si="17"/>
        <v>55046.050732226802</v>
      </c>
      <c r="I138" s="543">
        <f t="shared" si="18"/>
        <v>55046.050732226802</v>
      </c>
      <c r="J138" s="479">
        <f t="shared" si="13"/>
        <v>0</v>
      </c>
      <c r="K138" s="479"/>
      <c r="L138" s="488"/>
      <c r="M138" s="479">
        <f t="shared" si="22"/>
        <v>0</v>
      </c>
      <c r="N138" s="488"/>
      <c r="O138" s="479">
        <f t="shared" si="23"/>
        <v>0</v>
      </c>
      <c r="P138" s="479">
        <f t="shared" si="24"/>
        <v>0</v>
      </c>
    </row>
    <row r="139" spans="2:16" ht="12.5">
      <c r="B139" s="160" t="str">
        <f t="shared" si="12"/>
        <v/>
      </c>
      <c r="C139" s="473">
        <f>IF(D93="","-",+C138+1)</f>
        <v>2054</v>
      </c>
      <c r="D139" s="347">
        <f>IF(F138+SUM(E$99:E138)=D$92,F138,D$92-SUM(E$99:E138))</f>
        <v>104613</v>
      </c>
      <c r="E139" s="485">
        <f t="shared" si="14"/>
        <v>42089</v>
      </c>
      <c r="F139" s="486">
        <f t="shared" si="15"/>
        <v>62524</v>
      </c>
      <c r="G139" s="486">
        <f t="shared" si="16"/>
        <v>83568.5</v>
      </c>
      <c r="H139" s="489">
        <f t="shared" si="17"/>
        <v>50706.084488519155</v>
      </c>
      <c r="I139" s="543">
        <f t="shared" si="18"/>
        <v>50706.084488519155</v>
      </c>
      <c r="J139" s="479">
        <f t="shared" si="13"/>
        <v>0</v>
      </c>
      <c r="K139" s="479"/>
      <c r="L139" s="488"/>
      <c r="M139" s="479">
        <f t="shared" si="22"/>
        <v>0</v>
      </c>
      <c r="N139" s="488"/>
      <c r="O139" s="479">
        <f t="shared" si="23"/>
        <v>0</v>
      </c>
      <c r="P139" s="479">
        <f t="shared" si="24"/>
        <v>0</v>
      </c>
    </row>
    <row r="140" spans="2:16" ht="12.5">
      <c r="B140" s="160" t="str">
        <f t="shared" si="12"/>
        <v/>
      </c>
      <c r="C140" s="473">
        <f>IF(D93="","-",+C139+1)</f>
        <v>2055</v>
      </c>
      <c r="D140" s="347">
        <f>IF(F139+SUM(E$99:E139)=D$92,F139,D$92-SUM(E$99:E139))</f>
        <v>62524</v>
      </c>
      <c r="E140" s="485">
        <f t="shared" si="14"/>
        <v>42089</v>
      </c>
      <c r="F140" s="486">
        <f t="shared" si="15"/>
        <v>20435</v>
      </c>
      <c r="G140" s="486">
        <f t="shared" si="16"/>
        <v>41479.5</v>
      </c>
      <c r="H140" s="489">
        <f t="shared" si="17"/>
        <v>46366.118244811507</v>
      </c>
      <c r="I140" s="543">
        <f t="shared" si="18"/>
        <v>46366.118244811507</v>
      </c>
      <c r="J140" s="479">
        <f t="shared" si="13"/>
        <v>0</v>
      </c>
      <c r="K140" s="479"/>
      <c r="L140" s="488"/>
      <c r="M140" s="479">
        <f t="shared" si="22"/>
        <v>0</v>
      </c>
      <c r="N140" s="488"/>
      <c r="O140" s="479">
        <f t="shared" si="23"/>
        <v>0</v>
      </c>
      <c r="P140" s="479">
        <f t="shared" si="24"/>
        <v>0</v>
      </c>
    </row>
    <row r="141" spans="2:16" ht="12.5">
      <c r="B141" s="160" t="str">
        <f t="shared" si="12"/>
        <v/>
      </c>
      <c r="C141" s="473">
        <f>IF(D93="","-",+C140+1)</f>
        <v>2056</v>
      </c>
      <c r="D141" s="347">
        <f>IF(F140+SUM(E$99:E140)=D$92,F140,D$92-SUM(E$99:E140))</f>
        <v>20435</v>
      </c>
      <c r="E141" s="485">
        <f t="shared" si="14"/>
        <v>20435</v>
      </c>
      <c r="F141" s="486">
        <f t="shared" si="15"/>
        <v>0</v>
      </c>
      <c r="G141" s="486">
        <f t="shared" si="16"/>
        <v>10217.5</v>
      </c>
      <c r="H141" s="489">
        <f t="shared" si="17"/>
        <v>21488.567561478842</v>
      </c>
      <c r="I141" s="543">
        <f t="shared" si="18"/>
        <v>21488.567561478842</v>
      </c>
      <c r="J141" s="479">
        <f t="shared" si="13"/>
        <v>0</v>
      </c>
      <c r="K141" s="479"/>
      <c r="L141" s="488"/>
      <c r="M141" s="479">
        <f t="shared" si="22"/>
        <v>0</v>
      </c>
      <c r="N141" s="488"/>
      <c r="O141" s="479">
        <f t="shared" si="23"/>
        <v>0</v>
      </c>
      <c r="P141" s="479">
        <f t="shared" si="24"/>
        <v>0</v>
      </c>
    </row>
    <row r="142" spans="2:16" ht="12.5">
      <c r="B142" s="160" t="str">
        <f t="shared" si="12"/>
        <v/>
      </c>
      <c r="C142" s="473">
        <f>IF(D93="","-",+C141+1)</f>
        <v>2057</v>
      </c>
      <c r="D142" s="347">
        <f>IF(F141+SUM(E$99:E141)=D$92,F141,D$92-SUM(E$99:E141))</f>
        <v>0</v>
      </c>
      <c r="E142" s="485">
        <f t="shared" si="14"/>
        <v>0</v>
      </c>
      <c r="F142" s="486">
        <f t="shared" si="15"/>
        <v>0</v>
      </c>
      <c r="G142" s="486">
        <f t="shared" si="16"/>
        <v>0</v>
      </c>
      <c r="H142" s="489">
        <f t="shared" si="17"/>
        <v>0</v>
      </c>
      <c r="I142" s="543">
        <f t="shared" si="18"/>
        <v>0</v>
      </c>
      <c r="J142" s="479">
        <f t="shared" si="13"/>
        <v>0</v>
      </c>
      <c r="K142" s="479"/>
      <c r="L142" s="488"/>
      <c r="M142" s="479">
        <f t="shared" si="22"/>
        <v>0</v>
      </c>
      <c r="N142" s="488"/>
      <c r="O142" s="479">
        <f t="shared" si="23"/>
        <v>0</v>
      </c>
      <c r="P142" s="479">
        <f t="shared" si="24"/>
        <v>0</v>
      </c>
    </row>
    <row r="143" spans="2:16" ht="12.5">
      <c r="B143" s="160" t="str">
        <f t="shared" si="12"/>
        <v/>
      </c>
      <c r="C143" s="473">
        <f>IF(D93="","-",+C142+1)</f>
        <v>2058</v>
      </c>
      <c r="D143" s="347">
        <f>IF(F142+SUM(E$99:E142)=D$92,F142,D$92-SUM(E$99:E142))</f>
        <v>0</v>
      </c>
      <c r="E143" s="485">
        <f t="shared" si="14"/>
        <v>0</v>
      </c>
      <c r="F143" s="486">
        <f t="shared" si="15"/>
        <v>0</v>
      </c>
      <c r="G143" s="486">
        <f t="shared" si="16"/>
        <v>0</v>
      </c>
      <c r="H143" s="489">
        <f t="shared" si="17"/>
        <v>0</v>
      </c>
      <c r="I143" s="543">
        <f t="shared" si="18"/>
        <v>0</v>
      </c>
      <c r="J143" s="479">
        <f t="shared" si="13"/>
        <v>0</v>
      </c>
      <c r="K143" s="479"/>
      <c r="L143" s="488"/>
      <c r="M143" s="479">
        <f t="shared" si="22"/>
        <v>0</v>
      </c>
      <c r="N143" s="488"/>
      <c r="O143" s="479">
        <f t="shared" si="23"/>
        <v>0</v>
      </c>
      <c r="P143" s="479">
        <f t="shared" si="24"/>
        <v>0</v>
      </c>
    </row>
    <row r="144" spans="2:16" ht="12.5">
      <c r="B144" s="160" t="str">
        <f t="shared" si="12"/>
        <v/>
      </c>
      <c r="C144" s="473">
        <f>IF(D93="","-",+C143+1)</f>
        <v>2059</v>
      </c>
      <c r="D144" s="347">
        <f>IF(F143+SUM(E$99:E143)=D$92,F143,D$92-SUM(E$99:E143))</f>
        <v>0</v>
      </c>
      <c r="E144" s="485">
        <f t="shared" si="14"/>
        <v>0</v>
      </c>
      <c r="F144" s="486">
        <f t="shared" si="15"/>
        <v>0</v>
      </c>
      <c r="G144" s="486">
        <f t="shared" si="16"/>
        <v>0</v>
      </c>
      <c r="H144" s="489">
        <f t="shared" si="17"/>
        <v>0</v>
      </c>
      <c r="I144" s="543">
        <f t="shared" si="18"/>
        <v>0</v>
      </c>
      <c r="J144" s="479">
        <f t="shared" si="13"/>
        <v>0</v>
      </c>
      <c r="K144" s="479"/>
      <c r="L144" s="488"/>
      <c r="M144" s="479">
        <f t="shared" si="22"/>
        <v>0</v>
      </c>
      <c r="N144" s="488"/>
      <c r="O144" s="479">
        <f t="shared" si="23"/>
        <v>0</v>
      </c>
      <c r="P144" s="479">
        <f t="shared" si="24"/>
        <v>0</v>
      </c>
    </row>
    <row r="145" spans="2:16" ht="12.5">
      <c r="B145" s="160" t="str">
        <f t="shared" si="12"/>
        <v/>
      </c>
      <c r="C145" s="473">
        <f>IF(D93="","-",+C144+1)</f>
        <v>2060</v>
      </c>
      <c r="D145" s="347">
        <f>IF(F144+SUM(E$99:E144)=D$92,F144,D$92-SUM(E$99:E144))</f>
        <v>0</v>
      </c>
      <c r="E145" s="485">
        <f t="shared" si="14"/>
        <v>0</v>
      </c>
      <c r="F145" s="486">
        <f t="shared" si="15"/>
        <v>0</v>
      </c>
      <c r="G145" s="486">
        <f t="shared" si="16"/>
        <v>0</v>
      </c>
      <c r="H145" s="489">
        <f t="shared" si="17"/>
        <v>0</v>
      </c>
      <c r="I145" s="543">
        <f t="shared" si="18"/>
        <v>0</v>
      </c>
      <c r="J145" s="479">
        <f t="shared" si="13"/>
        <v>0</v>
      </c>
      <c r="K145" s="479"/>
      <c r="L145" s="488"/>
      <c r="M145" s="479">
        <f t="shared" si="22"/>
        <v>0</v>
      </c>
      <c r="N145" s="488"/>
      <c r="O145" s="479">
        <f t="shared" si="23"/>
        <v>0</v>
      </c>
      <c r="P145" s="479">
        <f t="shared" si="24"/>
        <v>0</v>
      </c>
    </row>
    <row r="146" spans="2:16" ht="12.5">
      <c r="B146" s="160" t="str">
        <f t="shared" si="12"/>
        <v/>
      </c>
      <c r="C146" s="473">
        <f>IF(D93="","-",+C145+1)</f>
        <v>2061</v>
      </c>
      <c r="D146" s="347">
        <f>IF(F145+SUM(E$99:E145)=D$92,F145,D$92-SUM(E$99:E145))</f>
        <v>0</v>
      </c>
      <c r="E146" s="485">
        <f t="shared" si="14"/>
        <v>0</v>
      </c>
      <c r="F146" s="486">
        <f t="shared" si="15"/>
        <v>0</v>
      </c>
      <c r="G146" s="486">
        <f t="shared" si="16"/>
        <v>0</v>
      </c>
      <c r="H146" s="489">
        <f t="shared" si="17"/>
        <v>0</v>
      </c>
      <c r="I146" s="543">
        <f t="shared" si="18"/>
        <v>0</v>
      </c>
      <c r="J146" s="479">
        <f t="shared" si="13"/>
        <v>0</v>
      </c>
      <c r="K146" s="479"/>
      <c r="L146" s="488"/>
      <c r="M146" s="479">
        <f t="shared" si="22"/>
        <v>0</v>
      </c>
      <c r="N146" s="488"/>
      <c r="O146" s="479">
        <f t="shared" si="23"/>
        <v>0</v>
      </c>
      <c r="P146" s="479">
        <f t="shared" si="24"/>
        <v>0</v>
      </c>
    </row>
    <row r="147" spans="2:16" ht="12.5">
      <c r="B147" s="160" t="str">
        <f t="shared" si="12"/>
        <v/>
      </c>
      <c r="C147" s="473">
        <f>IF(D93="","-",+C146+1)</f>
        <v>2062</v>
      </c>
      <c r="D147" s="347">
        <f>IF(F146+SUM(E$99:E146)=D$92,F146,D$92-SUM(E$99:E146))</f>
        <v>0</v>
      </c>
      <c r="E147" s="485">
        <f t="shared" si="14"/>
        <v>0</v>
      </c>
      <c r="F147" s="486">
        <f t="shared" si="15"/>
        <v>0</v>
      </c>
      <c r="G147" s="486">
        <f t="shared" si="16"/>
        <v>0</v>
      </c>
      <c r="H147" s="489">
        <f t="shared" si="17"/>
        <v>0</v>
      </c>
      <c r="I147" s="543">
        <f t="shared" si="18"/>
        <v>0</v>
      </c>
      <c r="J147" s="479">
        <f t="shared" si="13"/>
        <v>0</v>
      </c>
      <c r="K147" s="479"/>
      <c r="L147" s="488"/>
      <c r="M147" s="479">
        <f t="shared" si="22"/>
        <v>0</v>
      </c>
      <c r="N147" s="488"/>
      <c r="O147" s="479">
        <f t="shared" si="23"/>
        <v>0</v>
      </c>
      <c r="P147" s="479">
        <f t="shared" si="24"/>
        <v>0</v>
      </c>
    </row>
    <row r="148" spans="2:16" ht="12.5">
      <c r="B148" s="160" t="str">
        <f t="shared" si="12"/>
        <v/>
      </c>
      <c r="C148" s="473">
        <f>IF(D93="","-",+C147+1)</f>
        <v>2063</v>
      </c>
      <c r="D148" s="347">
        <f>IF(F147+SUM(E$99:E147)=D$92,F147,D$92-SUM(E$99:E147))</f>
        <v>0</v>
      </c>
      <c r="E148" s="485">
        <f t="shared" si="14"/>
        <v>0</v>
      </c>
      <c r="F148" s="486">
        <f t="shared" si="15"/>
        <v>0</v>
      </c>
      <c r="G148" s="486">
        <f t="shared" si="16"/>
        <v>0</v>
      </c>
      <c r="H148" s="489">
        <f t="shared" si="17"/>
        <v>0</v>
      </c>
      <c r="I148" s="543">
        <f t="shared" si="18"/>
        <v>0</v>
      </c>
      <c r="J148" s="479">
        <f t="shared" si="13"/>
        <v>0</v>
      </c>
      <c r="K148" s="479"/>
      <c r="L148" s="488"/>
      <c r="M148" s="479">
        <f t="shared" si="22"/>
        <v>0</v>
      </c>
      <c r="N148" s="488"/>
      <c r="O148" s="479">
        <f t="shared" si="23"/>
        <v>0</v>
      </c>
      <c r="P148" s="479">
        <f t="shared" si="24"/>
        <v>0</v>
      </c>
    </row>
    <row r="149" spans="2:16" ht="12.5">
      <c r="B149" s="160" t="str">
        <f t="shared" si="12"/>
        <v/>
      </c>
      <c r="C149" s="473">
        <f>IF(D93="","-",+C148+1)</f>
        <v>2064</v>
      </c>
      <c r="D149" s="347">
        <f>IF(F148+SUM(E$99:E148)=D$92,F148,D$92-SUM(E$99:E148))</f>
        <v>0</v>
      </c>
      <c r="E149" s="485">
        <f t="shared" si="14"/>
        <v>0</v>
      </c>
      <c r="F149" s="486">
        <f t="shared" si="15"/>
        <v>0</v>
      </c>
      <c r="G149" s="486">
        <f t="shared" si="16"/>
        <v>0</v>
      </c>
      <c r="H149" s="489">
        <f t="shared" si="17"/>
        <v>0</v>
      </c>
      <c r="I149" s="543">
        <f t="shared" si="18"/>
        <v>0</v>
      </c>
      <c r="J149" s="479">
        <f t="shared" si="13"/>
        <v>0</v>
      </c>
      <c r="K149" s="479"/>
      <c r="L149" s="488"/>
      <c r="M149" s="479">
        <f t="shared" si="22"/>
        <v>0</v>
      </c>
      <c r="N149" s="488"/>
      <c r="O149" s="479">
        <f t="shared" si="23"/>
        <v>0</v>
      </c>
      <c r="P149" s="479">
        <f t="shared" si="24"/>
        <v>0</v>
      </c>
    </row>
    <row r="150" spans="2:16" ht="12.5">
      <c r="B150" s="160" t="str">
        <f t="shared" si="12"/>
        <v/>
      </c>
      <c r="C150" s="473">
        <f>IF(D93="","-",+C149+1)</f>
        <v>2065</v>
      </c>
      <c r="D150" s="347">
        <f>IF(F149+SUM(E$99:E149)=D$92,F149,D$92-SUM(E$99:E149))</f>
        <v>0</v>
      </c>
      <c r="E150" s="485">
        <f t="shared" si="14"/>
        <v>0</v>
      </c>
      <c r="F150" s="486">
        <f t="shared" si="15"/>
        <v>0</v>
      </c>
      <c r="G150" s="486">
        <f t="shared" si="16"/>
        <v>0</v>
      </c>
      <c r="H150" s="489">
        <f t="shared" si="17"/>
        <v>0</v>
      </c>
      <c r="I150" s="543">
        <f t="shared" si="18"/>
        <v>0</v>
      </c>
      <c r="J150" s="479">
        <f t="shared" si="13"/>
        <v>0</v>
      </c>
      <c r="K150" s="479"/>
      <c r="L150" s="488"/>
      <c r="M150" s="479">
        <f t="shared" si="22"/>
        <v>0</v>
      </c>
      <c r="N150" s="488"/>
      <c r="O150" s="479">
        <f t="shared" si="23"/>
        <v>0</v>
      </c>
      <c r="P150" s="479">
        <f t="shared" si="24"/>
        <v>0</v>
      </c>
    </row>
    <row r="151" spans="2:16" ht="12.5">
      <c r="B151" s="160" t="str">
        <f t="shared" si="12"/>
        <v/>
      </c>
      <c r="C151" s="473">
        <f>IF(D93="","-",+C150+1)</f>
        <v>2066</v>
      </c>
      <c r="D151" s="347">
        <f>IF(F150+SUM(E$99:E150)=D$92,F150,D$92-SUM(E$99:E150))</f>
        <v>0</v>
      </c>
      <c r="E151" s="485">
        <f t="shared" si="14"/>
        <v>0</v>
      </c>
      <c r="F151" s="486">
        <f t="shared" si="15"/>
        <v>0</v>
      </c>
      <c r="G151" s="486">
        <f t="shared" si="16"/>
        <v>0</v>
      </c>
      <c r="H151" s="489">
        <f t="shared" si="17"/>
        <v>0</v>
      </c>
      <c r="I151" s="543">
        <f t="shared" si="18"/>
        <v>0</v>
      </c>
      <c r="J151" s="479">
        <f t="shared" si="13"/>
        <v>0</v>
      </c>
      <c r="K151" s="479"/>
      <c r="L151" s="488"/>
      <c r="M151" s="479">
        <f t="shared" si="22"/>
        <v>0</v>
      </c>
      <c r="N151" s="488"/>
      <c r="O151" s="479">
        <f t="shared" si="23"/>
        <v>0</v>
      </c>
      <c r="P151" s="479">
        <f t="shared" si="24"/>
        <v>0</v>
      </c>
    </row>
    <row r="152" spans="2:16" ht="12.5">
      <c r="B152" s="160" t="str">
        <f t="shared" si="12"/>
        <v/>
      </c>
      <c r="C152" s="473">
        <f>IF(D93="","-",+C151+1)</f>
        <v>2067</v>
      </c>
      <c r="D152" s="347">
        <f>IF(F151+SUM(E$99:E151)=D$92,F151,D$92-SUM(E$99:E151))</f>
        <v>0</v>
      </c>
      <c r="E152" s="485">
        <f t="shared" si="14"/>
        <v>0</v>
      </c>
      <c r="F152" s="486">
        <f t="shared" si="15"/>
        <v>0</v>
      </c>
      <c r="G152" s="486">
        <f t="shared" si="16"/>
        <v>0</v>
      </c>
      <c r="H152" s="489">
        <f t="shared" si="17"/>
        <v>0</v>
      </c>
      <c r="I152" s="543">
        <f t="shared" si="18"/>
        <v>0</v>
      </c>
      <c r="J152" s="479">
        <f t="shared" si="13"/>
        <v>0</v>
      </c>
      <c r="K152" s="479"/>
      <c r="L152" s="488"/>
      <c r="M152" s="479">
        <f t="shared" si="22"/>
        <v>0</v>
      </c>
      <c r="N152" s="488"/>
      <c r="O152" s="479">
        <f t="shared" si="23"/>
        <v>0</v>
      </c>
      <c r="P152" s="479">
        <f t="shared" si="24"/>
        <v>0</v>
      </c>
    </row>
    <row r="153" spans="2:16" ht="12.5">
      <c r="B153" s="160" t="str">
        <f t="shared" si="12"/>
        <v/>
      </c>
      <c r="C153" s="473">
        <f>IF(D93="","-",+C152+1)</f>
        <v>2068</v>
      </c>
      <c r="D153" s="347">
        <f>IF(F152+SUM(E$99:E152)=D$92,F152,D$92-SUM(E$99:E152))</f>
        <v>0</v>
      </c>
      <c r="E153" s="485">
        <f t="shared" si="14"/>
        <v>0</v>
      </c>
      <c r="F153" s="486">
        <f t="shared" si="15"/>
        <v>0</v>
      </c>
      <c r="G153" s="486">
        <f t="shared" si="16"/>
        <v>0</v>
      </c>
      <c r="H153" s="489">
        <f t="shared" si="17"/>
        <v>0</v>
      </c>
      <c r="I153" s="543">
        <f t="shared" si="18"/>
        <v>0</v>
      </c>
      <c r="J153" s="479">
        <f t="shared" si="13"/>
        <v>0</v>
      </c>
      <c r="K153" s="479"/>
      <c r="L153" s="488"/>
      <c r="M153" s="479">
        <f t="shared" si="22"/>
        <v>0</v>
      </c>
      <c r="N153" s="488"/>
      <c r="O153" s="479">
        <f t="shared" si="23"/>
        <v>0</v>
      </c>
      <c r="P153" s="479">
        <f t="shared" si="24"/>
        <v>0</v>
      </c>
    </row>
    <row r="154" spans="2:16" ht="13" thickBot="1">
      <c r="B154" s="160" t="str">
        <f t="shared" si="12"/>
        <v/>
      </c>
      <c r="C154" s="490">
        <f>IF(D93="","-",+C153+1)</f>
        <v>2069</v>
      </c>
      <c r="D154" s="577">
        <f>IF(F153+SUM(E$99:E153)=D$92,F153,D$92-SUM(E$99:E153))</f>
        <v>0</v>
      </c>
      <c r="E154" s="492">
        <f t="shared" si="14"/>
        <v>0</v>
      </c>
      <c r="F154" s="491">
        <f t="shared" si="15"/>
        <v>0</v>
      </c>
      <c r="G154" s="491">
        <f t="shared" si="16"/>
        <v>0</v>
      </c>
      <c r="H154" s="493">
        <f t="shared" si="17"/>
        <v>0</v>
      </c>
      <c r="I154" s="546">
        <f t="shared" si="18"/>
        <v>0</v>
      </c>
      <c r="J154" s="496">
        <f t="shared" si="13"/>
        <v>0</v>
      </c>
      <c r="K154" s="479"/>
      <c r="L154" s="495"/>
      <c r="M154" s="496">
        <f t="shared" si="22"/>
        <v>0</v>
      </c>
      <c r="N154" s="495"/>
      <c r="O154" s="496">
        <f t="shared" si="23"/>
        <v>0</v>
      </c>
      <c r="P154" s="496">
        <f t="shared" si="24"/>
        <v>0</v>
      </c>
    </row>
    <row r="155" spans="2:16" ht="12.5">
      <c r="C155" s="347" t="s">
        <v>77</v>
      </c>
      <c r="D155" s="348"/>
      <c r="E155" s="348">
        <f>SUM(E99:E154)</f>
        <v>1725647</v>
      </c>
      <c r="F155" s="348"/>
      <c r="G155" s="348"/>
      <c r="H155" s="348">
        <f>SUM(H99:H154)</f>
        <v>5590369.3195803845</v>
      </c>
      <c r="I155" s="348">
        <f>SUM(I99:I154)</f>
        <v>5590369.3195803845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tabSelected="1" view="pageBreakPreview" topLeftCell="E1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19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175351.45606998727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175351.45606998727</v>
      </c>
      <c r="O6" s="233"/>
      <c r="P6" s="233"/>
    </row>
    <row r="7" spans="1:16" ht="13.5" thickBot="1">
      <c r="C7" s="432" t="s">
        <v>46</v>
      </c>
      <c r="D7" s="600" t="s">
        <v>281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296</v>
      </c>
      <c r="E9" s="578" t="s">
        <v>297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1338978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3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29755.066666666666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2017</v>
      </c>
      <c r="D17" s="585">
        <v>0</v>
      </c>
      <c r="E17" s="609">
        <v>21831.16304347826</v>
      </c>
      <c r="F17" s="585">
        <v>1317146.8369565217</v>
      </c>
      <c r="G17" s="609">
        <v>105641.6474528401</v>
      </c>
      <c r="H17" s="588">
        <v>105641.6474528401</v>
      </c>
      <c r="I17" s="476">
        <f t="shared" ref="I17:I72" si="0">H17-G17</f>
        <v>0</v>
      </c>
      <c r="J17" s="476"/>
      <c r="K17" s="478">
        <f>+G17</f>
        <v>105641.6474528401</v>
      </c>
      <c r="L17" s="478">
        <f t="shared" ref="L17:L72" si="1">IF(K17&lt;&gt;0,+G17-K17,0)</f>
        <v>0</v>
      </c>
      <c r="M17" s="478">
        <f>+H17</f>
        <v>105641.6474528401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2018</v>
      </c>
      <c r="D18" s="585">
        <v>1317146.8369565217</v>
      </c>
      <c r="E18" s="586">
        <v>29755.066666666666</v>
      </c>
      <c r="F18" s="585">
        <v>1287391.7702898551</v>
      </c>
      <c r="G18" s="586">
        <v>185713.45898482588</v>
      </c>
      <c r="H18" s="588">
        <v>185713.45898482588</v>
      </c>
      <c r="I18" s="476">
        <f t="shared" si="0"/>
        <v>0</v>
      </c>
      <c r="J18" s="476"/>
      <c r="K18" s="479">
        <f>+G18</f>
        <v>185713.45898482588</v>
      </c>
      <c r="L18" s="479">
        <f t="shared" si="1"/>
        <v>0</v>
      </c>
      <c r="M18" s="479">
        <f>+H18</f>
        <v>185713.45898482588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2019</v>
      </c>
      <c r="D19" s="585">
        <v>1287391.7702898551</v>
      </c>
      <c r="E19" s="586">
        <v>33474.449999999997</v>
      </c>
      <c r="F19" s="585">
        <v>1253917.3202898551</v>
      </c>
      <c r="G19" s="586">
        <v>175351.45606998727</v>
      </c>
      <c r="H19" s="588">
        <v>175351.45606998727</v>
      </c>
      <c r="I19" s="476">
        <f t="shared" si="0"/>
        <v>0</v>
      </c>
      <c r="J19" s="476"/>
      <c r="K19" s="479">
        <f>+G19</f>
        <v>175351.45606998727</v>
      </c>
      <c r="L19" s="479">
        <f t="shared" ref="L19" si="4">IF(K19&lt;&gt;0,+G19-K19,0)</f>
        <v>0</v>
      </c>
      <c r="M19" s="479">
        <f>+H19</f>
        <v>175351.45606998727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/>
      </c>
      <c r="C20" s="473">
        <f>IF(D11="","-",+C19+1)</f>
        <v>2020</v>
      </c>
      <c r="D20" s="484">
        <f>IF(F19+SUM(E$17:E19)=D$10,F19,D$10-SUM(E$17:E19))</f>
        <v>1253917.3202898551</v>
      </c>
      <c r="E20" s="485">
        <f t="shared" ref="E20:E72" si="6">IF(+I$14&lt;F19,I$14,D20)</f>
        <v>29755.066666666666</v>
      </c>
      <c r="F20" s="486">
        <f t="shared" ref="F20:F72" si="7">+D20-E20</f>
        <v>1224162.2536231885</v>
      </c>
      <c r="G20" s="487">
        <f t="shared" ref="G20:G72" si="8">(D20+F20)/2*I$12+E20</f>
        <v>197441.02440505527</v>
      </c>
      <c r="H20" s="456">
        <f t="shared" ref="H20:H72" si="9">+(D20+F20)/2*I$13+E20</f>
        <v>197441.02440505527</v>
      </c>
      <c r="I20" s="476">
        <f t="shared" si="0"/>
        <v>0</v>
      </c>
      <c r="J20" s="476"/>
      <c r="K20" s="488"/>
      <c r="L20" s="479">
        <f t="shared" si="1"/>
        <v>0</v>
      </c>
      <c r="M20" s="488"/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/>
      </c>
      <c r="C21" s="473">
        <f>IF(D11="","-",+C20+1)</f>
        <v>2021</v>
      </c>
      <c r="D21" s="484">
        <f>IF(F20+SUM(E$17:E20)=D$10,F20,D$10-SUM(E$17:E20))</f>
        <v>1224162.2536231885</v>
      </c>
      <c r="E21" s="485">
        <f t="shared" si="6"/>
        <v>29755.066666666666</v>
      </c>
      <c r="F21" s="486">
        <f t="shared" si="7"/>
        <v>1194407.1869565218</v>
      </c>
      <c r="G21" s="487">
        <f t="shared" si="8"/>
        <v>193414.11025419866</v>
      </c>
      <c r="H21" s="456">
        <f t="shared" si="9"/>
        <v>193414.11025419866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2022</v>
      </c>
      <c r="D22" s="484">
        <f>IF(F21+SUM(E$17:E21)=D$10,F21,D$10-SUM(E$17:E21))</f>
        <v>1194407.1869565218</v>
      </c>
      <c r="E22" s="485">
        <f t="shared" si="6"/>
        <v>29755.066666666666</v>
      </c>
      <c r="F22" s="486">
        <f t="shared" si="7"/>
        <v>1164652.1202898552</v>
      </c>
      <c r="G22" s="487">
        <f t="shared" si="8"/>
        <v>189387.19610334199</v>
      </c>
      <c r="H22" s="456">
        <f t="shared" si="9"/>
        <v>189387.19610334199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2023</v>
      </c>
      <c r="D23" s="484">
        <f>IF(F22+SUM(E$17:E22)=D$10,F22,D$10-SUM(E$17:E22))</f>
        <v>1164652.1202898552</v>
      </c>
      <c r="E23" s="485">
        <f t="shared" si="6"/>
        <v>29755.066666666666</v>
      </c>
      <c r="F23" s="486">
        <f t="shared" si="7"/>
        <v>1134897.0536231885</v>
      </c>
      <c r="G23" s="487">
        <f t="shared" si="8"/>
        <v>185360.28195248538</v>
      </c>
      <c r="H23" s="456">
        <f t="shared" si="9"/>
        <v>185360.28195248538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2024</v>
      </c>
      <c r="D24" s="484">
        <f>IF(F23+SUM(E$17:E23)=D$10,F23,D$10-SUM(E$17:E23))</f>
        <v>1134897.0536231885</v>
      </c>
      <c r="E24" s="485">
        <f t="shared" si="6"/>
        <v>29755.066666666666</v>
      </c>
      <c r="F24" s="486">
        <f t="shared" si="7"/>
        <v>1105141.9869565219</v>
      </c>
      <c r="G24" s="487">
        <f t="shared" si="8"/>
        <v>181333.36780162877</v>
      </c>
      <c r="H24" s="456">
        <f t="shared" si="9"/>
        <v>181333.36780162877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2025</v>
      </c>
      <c r="D25" s="484">
        <f>IF(F24+SUM(E$17:E24)=D$10,F24,D$10-SUM(E$17:E24))</f>
        <v>1105141.9869565219</v>
      </c>
      <c r="E25" s="485">
        <f t="shared" si="6"/>
        <v>29755.066666666666</v>
      </c>
      <c r="F25" s="486">
        <f t="shared" si="7"/>
        <v>1075386.9202898552</v>
      </c>
      <c r="G25" s="487">
        <f t="shared" si="8"/>
        <v>177306.45365077216</v>
      </c>
      <c r="H25" s="456">
        <f t="shared" si="9"/>
        <v>177306.45365077216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2026</v>
      </c>
      <c r="D26" s="484">
        <f>IF(F25+SUM(E$17:E25)=D$10,F25,D$10-SUM(E$17:E25))</f>
        <v>1075386.9202898552</v>
      </c>
      <c r="E26" s="485">
        <f t="shared" si="6"/>
        <v>29755.066666666666</v>
      </c>
      <c r="F26" s="486">
        <f t="shared" si="7"/>
        <v>1045631.8536231886</v>
      </c>
      <c r="G26" s="487">
        <f t="shared" si="8"/>
        <v>173279.5394999155</v>
      </c>
      <c r="H26" s="456">
        <f t="shared" si="9"/>
        <v>173279.5394999155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2027</v>
      </c>
      <c r="D27" s="484">
        <f>IF(F26+SUM(E$17:E26)=D$10,F26,D$10-SUM(E$17:E26))</f>
        <v>1045631.8536231886</v>
      </c>
      <c r="E27" s="485">
        <f t="shared" si="6"/>
        <v>29755.066666666666</v>
      </c>
      <c r="F27" s="486">
        <f t="shared" si="7"/>
        <v>1015876.7869565219</v>
      </c>
      <c r="G27" s="487">
        <f t="shared" si="8"/>
        <v>169252.62534905889</v>
      </c>
      <c r="H27" s="456">
        <f t="shared" si="9"/>
        <v>169252.62534905889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2028</v>
      </c>
      <c r="D28" s="484">
        <f>IF(F27+SUM(E$17:E27)=D$10,F27,D$10-SUM(E$17:E27))</f>
        <v>1015876.7869565219</v>
      </c>
      <c r="E28" s="485">
        <f t="shared" si="6"/>
        <v>29755.066666666666</v>
      </c>
      <c r="F28" s="486">
        <f t="shared" si="7"/>
        <v>986121.72028985526</v>
      </c>
      <c r="G28" s="487">
        <f t="shared" si="8"/>
        <v>165225.71119820228</v>
      </c>
      <c r="H28" s="456">
        <f t="shared" si="9"/>
        <v>165225.71119820228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2029</v>
      </c>
      <c r="D29" s="484">
        <f>IF(F28+SUM(E$17:E28)=D$10,F28,D$10-SUM(E$17:E28))</f>
        <v>986121.72028985526</v>
      </c>
      <c r="E29" s="485">
        <f t="shared" si="6"/>
        <v>29755.066666666666</v>
      </c>
      <c r="F29" s="486">
        <f t="shared" si="7"/>
        <v>956366.65362318861</v>
      </c>
      <c r="G29" s="487">
        <f t="shared" si="8"/>
        <v>161198.79704734561</v>
      </c>
      <c r="H29" s="456">
        <f t="shared" si="9"/>
        <v>161198.79704734561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2030</v>
      </c>
      <c r="D30" s="484">
        <f>IF(F29+SUM(E$17:E29)=D$10,F29,D$10-SUM(E$17:E29))</f>
        <v>956366.65362318861</v>
      </c>
      <c r="E30" s="485">
        <f t="shared" si="6"/>
        <v>29755.066666666666</v>
      </c>
      <c r="F30" s="486">
        <f t="shared" si="7"/>
        <v>926611.58695652196</v>
      </c>
      <c r="G30" s="487">
        <f t="shared" si="8"/>
        <v>157171.882896489</v>
      </c>
      <c r="H30" s="456">
        <f t="shared" si="9"/>
        <v>157171.882896489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2031</v>
      </c>
      <c r="D31" s="484">
        <f>IF(F30+SUM(E$17:E30)=D$10,F30,D$10-SUM(E$17:E30))</f>
        <v>926611.58695652196</v>
      </c>
      <c r="E31" s="485">
        <f t="shared" si="6"/>
        <v>29755.066666666666</v>
      </c>
      <c r="F31" s="486">
        <f t="shared" si="7"/>
        <v>896856.52028985531</v>
      </c>
      <c r="G31" s="487">
        <f t="shared" si="8"/>
        <v>153144.96874563236</v>
      </c>
      <c r="H31" s="456">
        <f t="shared" si="9"/>
        <v>153144.96874563236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2032</v>
      </c>
      <c r="D32" s="484">
        <f>IF(F31+SUM(E$17:E31)=D$10,F31,D$10-SUM(E$17:E31))</f>
        <v>896856.52028985531</v>
      </c>
      <c r="E32" s="485">
        <f t="shared" si="6"/>
        <v>29755.066666666666</v>
      </c>
      <c r="F32" s="486">
        <f t="shared" si="7"/>
        <v>867101.45362318866</v>
      </c>
      <c r="G32" s="487">
        <f t="shared" si="8"/>
        <v>149118.05459477572</v>
      </c>
      <c r="H32" s="456">
        <f t="shared" si="9"/>
        <v>149118.05459477572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2033</v>
      </c>
      <c r="D33" s="484">
        <f>IF(F32+SUM(E$17:E32)=D$10,F32,D$10-SUM(E$17:E32))</f>
        <v>867101.45362318866</v>
      </c>
      <c r="E33" s="485">
        <f t="shared" si="6"/>
        <v>29755.066666666666</v>
      </c>
      <c r="F33" s="486">
        <f t="shared" si="7"/>
        <v>837346.38695652201</v>
      </c>
      <c r="G33" s="487">
        <f t="shared" si="8"/>
        <v>145091.14044391911</v>
      </c>
      <c r="H33" s="456">
        <f t="shared" si="9"/>
        <v>145091.14044391911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2034</v>
      </c>
      <c r="D34" s="484">
        <f>IF(F33+SUM(E$17:E33)=D$10,F33,D$10-SUM(E$17:E33))</f>
        <v>837346.38695652201</v>
      </c>
      <c r="E34" s="485">
        <f t="shared" si="6"/>
        <v>29755.066666666666</v>
      </c>
      <c r="F34" s="486">
        <f t="shared" si="7"/>
        <v>807591.32028985536</v>
      </c>
      <c r="G34" s="487">
        <f t="shared" si="8"/>
        <v>141064.22629306247</v>
      </c>
      <c r="H34" s="456">
        <f t="shared" si="9"/>
        <v>141064.22629306247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2035</v>
      </c>
      <c r="D35" s="484">
        <f>IF(F34+SUM(E$17:E34)=D$10,F34,D$10-SUM(E$17:E34))</f>
        <v>807591.32028985536</v>
      </c>
      <c r="E35" s="485">
        <f t="shared" si="6"/>
        <v>29755.066666666666</v>
      </c>
      <c r="F35" s="486">
        <f t="shared" si="7"/>
        <v>777836.25362318871</v>
      </c>
      <c r="G35" s="487">
        <f t="shared" si="8"/>
        <v>137037.31214220583</v>
      </c>
      <c r="H35" s="456">
        <f t="shared" si="9"/>
        <v>137037.31214220583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2036</v>
      </c>
      <c r="D36" s="484">
        <f>IF(F35+SUM(E$17:E35)=D$10,F35,D$10-SUM(E$17:E35))</f>
        <v>777836.25362318871</v>
      </c>
      <c r="E36" s="485">
        <f t="shared" si="6"/>
        <v>29755.066666666666</v>
      </c>
      <c r="F36" s="486">
        <f t="shared" si="7"/>
        <v>748081.18695652205</v>
      </c>
      <c r="G36" s="487">
        <f t="shared" si="8"/>
        <v>133010.39799134922</v>
      </c>
      <c r="H36" s="456">
        <f t="shared" si="9"/>
        <v>133010.39799134922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2037</v>
      </c>
      <c r="D37" s="484">
        <f>IF(F36+SUM(E$17:E36)=D$10,F36,D$10-SUM(E$17:E36))</f>
        <v>748081.18695652205</v>
      </c>
      <c r="E37" s="485">
        <f t="shared" si="6"/>
        <v>29755.066666666666</v>
      </c>
      <c r="F37" s="486">
        <f t="shared" si="7"/>
        <v>718326.1202898554</v>
      </c>
      <c r="G37" s="487">
        <f t="shared" si="8"/>
        <v>128983.4838404926</v>
      </c>
      <c r="H37" s="456">
        <f t="shared" si="9"/>
        <v>128983.4838404926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2038</v>
      </c>
      <c r="D38" s="484">
        <f>IF(F37+SUM(E$17:E37)=D$10,F37,D$10-SUM(E$17:E37))</f>
        <v>718326.1202898554</v>
      </c>
      <c r="E38" s="485">
        <f t="shared" si="6"/>
        <v>29755.066666666666</v>
      </c>
      <c r="F38" s="486">
        <f t="shared" si="7"/>
        <v>688571.05362318875</v>
      </c>
      <c r="G38" s="487">
        <f t="shared" si="8"/>
        <v>124956.56968963596</v>
      </c>
      <c r="H38" s="456">
        <f t="shared" si="9"/>
        <v>124956.56968963596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2039</v>
      </c>
      <c r="D39" s="484">
        <f>IF(F38+SUM(E$17:E38)=D$10,F38,D$10-SUM(E$17:E38))</f>
        <v>688571.05362318875</v>
      </c>
      <c r="E39" s="485">
        <f t="shared" si="6"/>
        <v>29755.066666666666</v>
      </c>
      <c r="F39" s="486">
        <f t="shared" si="7"/>
        <v>658815.9869565221</v>
      </c>
      <c r="G39" s="487">
        <f t="shared" si="8"/>
        <v>120929.65553877933</v>
      </c>
      <c r="H39" s="456">
        <f t="shared" si="9"/>
        <v>120929.65553877933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2040</v>
      </c>
      <c r="D40" s="484">
        <f>IF(F39+SUM(E$17:E39)=D$10,F39,D$10-SUM(E$17:E39))</f>
        <v>658815.9869565221</v>
      </c>
      <c r="E40" s="485">
        <f t="shared" si="6"/>
        <v>29755.066666666666</v>
      </c>
      <c r="F40" s="486">
        <f t="shared" si="7"/>
        <v>629060.92028985545</v>
      </c>
      <c r="G40" s="487">
        <f t="shared" si="8"/>
        <v>116902.74138792271</v>
      </c>
      <c r="H40" s="456">
        <f t="shared" si="9"/>
        <v>116902.74138792271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2041</v>
      </c>
      <c r="D41" s="484">
        <f>IF(F40+SUM(E$17:E40)=D$10,F40,D$10-SUM(E$17:E40))</f>
        <v>629060.92028985545</v>
      </c>
      <c r="E41" s="485">
        <f t="shared" si="6"/>
        <v>29755.066666666666</v>
      </c>
      <c r="F41" s="486">
        <f t="shared" si="7"/>
        <v>599305.8536231888</v>
      </c>
      <c r="G41" s="487">
        <f t="shared" si="8"/>
        <v>112875.82723706609</v>
      </c>
      <c r="H41" s="456">
        <f t="shared" si="9"/>
        <v>112875.82723706609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2042</v>
      </c>
      <c r="D42" s="484">
        <f>IF(F41+SUM(E$17:E41)=D$10,F41,D$10-SUM(E$17:E41))</f>
        <v>599305.8536231888</v>
      </c>
      <c r="E42" s="485">
        <f t="shared" si="6"/>
        <v>29755.066666666666</v>
      </c>
      <c r="F42" s="486">
        <f t="shared" si="7"/>
        <v>569550.78695652215</v>
      </c>
      <c r="G42" s="487">
        <f t="shared" si="8"/>
        <v>108848.91308620945</v>
      </c>
      <c r="H42" s="456">
        <f t="shared" si="9"/>
        <v>108848.91308620945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2043</v>
      </c>
      <c r="D43" s="484">
        <f>IF(F42+SUM(E$17:E42)=D$10,F42,D$10-SUM(E$17:E42))</f>
        <v>569550.78695652215</v>
      </c>
      <c r="E43" s="485">
        <f t="shared" si="6"/>
        <v>29755.066666666666</v>
      </c>
      <c r="F43" s="486">
        <f t="shared" si="7"/>
        <v>539795.7202898555</v>
      </c>
      <c r="G43" s="487">
        <f t="shared" si="8"/>
        <v>104821.99893535282</v>
      </c>
      <c r="H43" s="456">
        <f t="shared" si="9"/>
        <v>104821.99893535282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2044</v>
      </c>
      <c r="D44" s="484">
        <f>IF(F43+SUM(E$17:E43)=D$10,F43,D$10-SUM(E$17:E43))</f>
        <v>539795.7202898555</v>
      </c>
      <c r="E44" s="485">
        <f t="shared" si="6"/>
        <v>29755.066666666666</v>
      </c>
      <c r="F44" s="486">
        <f t="shared" si="7"/>
        <v>510040.65362318885</v>
      </c>
      <c r="G44" s="487">
        <f t="shared" si="8"/>
        <v>100795.0847844962</v>
      </c>
      <c r="H44" s="456">
        <f t="shared" si="9"/>
        <v>100795.0847844962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2045</v>
      </c>
      <c r="D45" s="484">
        <f>IF(F44+SUM(E$17:E44)=D$10,F44,D$10-SUM(E$17:E44))</f>
        <v>510040.65362318885</v>
      </c>
      <c r="E45" s="485">
        <f t="shared" si="6"/>
        <v>29755.066666666666</v>
      </c>
      <c r="F45" s="486">
        <f t="shared" si="7"/>
        <v>480285.58695652219</v>
      </c>
      <c r="G45" s="487">
        <f t="shared" si="8"/>
        <v>96768.170633639573</v>
      </c>
      <c r="H45" s="456">
        <f t="shared" si="9"/>
        <v>96768.170633639573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2046</v>
      </c>
      <c r="D46" s="484">
        <f>IF(F45+SUM(E$17:E45)=D$10,F45,D$10-SUM(E$17:E45))</f>
        <v>480285.58695652219</v>
      </c>
      <c r="E46" s="485">
        <f t="shared" si="6"/>
        <v>29755.066666666666</v>
      </c>
      <c r="F46" s="486">
        <f t="shared" si="7"/>
        <v>450530.52028985554</v>
      </c>
      <c r="G46" s="487">
        <f t="shared" si="8"/>
        <v>92741.256482782934</v>
      </c>
      <c r="H46" s="456">
        <f t="shared" si="9"/>
        <v>92741.256482782934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2047</v>
      </c>
      <c r="D47" s="484">
        <f>IF(F46+SUM(E$17:E46)=D$10,F46,D$10-SUM(E$17:E46))</f>
        <v>450530.52028985554</v>
      </c>
      <c r="E47" s="485">
        <f t="shared" si="6"/>
        <v>29755.066666666666</v>
      </c>
      <c r="F47" s="486">
        <f t="shared" si="7"/>
        <v>420775.45362318889</v>
      </c>
      <c r="G47" s="487">
        <f t="shared" si="8"/>
        <v>88714.342331926309</v>
      </c>
      <c r="H47" s="456">
        <f t="shared" si="9"/>
        <v>88714.342331926309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2048</v>
      </c>
      <c r="D48" s="484">
        <f>IF(F47+SUM(E$17:E47)=D$10,F47,D$10-SUM(E$17:E47))</f>
        <v>420775.45362318889</v>
      </c>
      <c r="E48" s="485">
        <f t="shared" si="6"/>
        <v>29755.066666666666</v>
      </c>
      <c r="F48" s="486">
        <f t="shared" si="7"/>
        <v>391020.38695652224</v>
      </c>
      <c r="G48" s="487">
        <f t="shared" si="8"/>
        <v>84687.42818106967</v>
      </c>
      <c r="H48" s="456">
        <f t="shared" si="9"/>
        <v>84687.42818106967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2049</v>
      </c>
      <c r="D49" s="484">
        <f>IF(F48+SUM(E$17:E48)=D$10,F48,D$10-SUM(E$17:E48))</f>
        <v>391020.38695652224</v>
      </c>
      <c r="E49" s="485">
        <f t="shared" si="6"/>
        <v>29755.066666666666</v>
      </c>
      <c r="F49" s="486">
        <f t="shared" si="7"/>
        <v>361265.32028985559</v>
      </c>
      <c r="G49" s="487">
        <f t="shared" si="8"/>
        <v>80660.51403021306</v>
      </c>
      <c r="H49" s="456">
        <f t="shared" si="9"/>
        <v>80660.51403021306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2050</v>
      </c>
      <c r="D50" s="484">
        <f>IF(F49+SUM(E$17:E49)=D$10,F49,D$10-SUM(E$17:E49))</f>
        <v>361265.32028985559</v>
      </c>
      <c r="E50" s="485">
        <f t="shared" si="6"/>
        <v>29755.066666666666</v>
      </c>
      <c r="F50" s="486">
        <f t="shared" si="7"/>
        <v>331510.25362318894</v>
      </c>
      <c r="G50" s="487">
        <f t="shared" si="8"/>
        <v>76633.599879356421</v>
      </c>
      <c r="H50" s="456">
        <f t="shared" si="9"/>
        <v>76633.599879356421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2051</v>
      </c>
      <c r="D51" s="484">
        <f>IF(F50+SUM(E$17:E50)=D$10,F50,D$10-SUM(E$17:E50))</f>
        <v>331510.25362318894</v>
      </c>
      <c r="E51" s="485">
        <f t="shared" si="6"/>
        <v>29755.066666666666</v>
      </c>
      <c r="F51" s="486">
        <f t="shared" si="7"/>
        <v>301755.18695652229</v>
      </c>
      <c r="G51" s="487">
        <f t="shared" si="8"/>
        <v>72606.685728499797</v>
      </c>
      <c r="H51" s="456">
        <f t="shared" si="9"/>
        <v>72606.685728499797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2052</v>
      </c>
      <c r="D52" s="484">
        <f>IF(F51+SUM(E$17:E51)=D$10,F51,D$10-SUM(E$17:E51))</f>
        <v>301755.18695652229</v>
      </c>
      <c r="E52" s="485">
        <f t="shared" si="6"/>
        <v>29755.066666666666</v>
      </c>
      <c r="F52" s="486">
        <f t="shared" si="7"/>
        <v>272000.12028985564</v>
      </c>
      <c r="G52" s="487">
        <f t="shared" si="8"/>
        <v>68579.771577643172</v>
      </c>
      <c r="H52" s="456">
        <f t="shared" si="9"/>
        <v>68579.771577643172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2053</v>
      </c>
      <c r="D53" s="484">
        <f>IF(F52+SUM(E$17:E52)=D$10,F52,D$10-SUM(E$17:E52))</f>
        <v>272000.12028985564</v>
      </c>
      <c r="E53" s="485">
        <f t="shared" si="6"/>
        <v>29755.066666666666</v>
      </c>
      <c r="F53" s="486">
        <f t="shared" si="7"/>
        <v>242245.05362318899</v>
      </c>
      <c r="G53" s="487">
        <f t="shared" si="8"/>
        <v>64552.857426786541</v>
      </c>
      <c r="H53" s="456">
        <f t="shared" si="9"/>
        <v>64552.857426786541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2054</v>
      </c>
      <c r="D54" s="484">
        <f>IF(F53+SUM(E$17:E53)=D$10,F53,D$10-SUM(E$17:E53))</f>
        <v>242245.05362318899</v>
      </c>
      <c r="E54" s="485">
        <f t="shared" si="6"/>
        <v>29755.066666666666</v>
      </c>
      <c r="F54" s="486">
        <f t="shared" si="7"/>
        <v>212489.98695652233</v>
      </c>
      <c r="G54" s="487">
        <f t="shared" si="8"/>
        <v>60525.943275929909</v>
      </c>
      <c r="H54" s="456">
        <f t="shared" si="9"/>
        <v>60525.943275929909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2055</v>
      </c>
      <c r="D55" s="484">
        <f>IF(F54+SUM(E$17:E54)=D$10,F54,D$10-SUM(E$17:E54))</f>
        <v>212489.98695652233</v>
      </c>
      <c r="E55" s="485">
        <f t="shared" si="6"/>
        <v>29755.066666666666</v>
      </c>
      <c r="F55" s="486">
        <f t="shared" si="7"/>
        <v>182734.92028985568</v>
      </c>
      <c r="G55" s="487">
        <f t="shared" si="8"/>
        <v>56499.029125073284</v>
      </c>
      <c r="H55" s="456">
        <f t="shared" si="9"/>
        <v>56499.029125073284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2056</v>
      </c>
      <c r="D56" s="484">
        <f>IF(F55+SUM(E$17:E55)=D$10,F55,D$10-SUM(E$17:E55))</f>
        <v>182734.92028985568</v>
      </c>
      <c r="E56" s="485">
        <f t="shared" si="6"/>
        <v>29755.066666666666</v>
      </c>
      <c r="F56" s="486">
        <f t="shared" si="7"/>
        <v>152979.85362318903</v>
      </c>
      <c r="G56" s="487">
        <f t="shared" si="8"/>
        <v>52472.114974216653</v>
      </c>
      <c r="H56" s="456">
        <f t="shared" si="9"/>
        <v>52472.114974216653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2057</v>
      </c>
      <c r="D57" s="484">
        <f>IF(F56+SUM(E$17:E56)=D$10,F56,D$10-SUM(E$17:E56))</f>
        <v>152979.85362318903</v>
      </c>
      <c r="E57" s="485">
        <f t="shared" si="6"/>
        <v>29755.066666666666</v>
      </c>
      <c r="F57" s="486">
        <f t="shared" si="7"/>
        <v>123224.78695652237</v>
      </c>
      <c r="G57" s="487">
        <f t="shared" si="8"/>
        <v>48445.200823360021</v>
      </c>
      <c r="H57" s="456">
        <f t="shared" si="9"/>
        <v>48445.200823360021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2058</v>
      </c>
      <c r="D58" s="484">
        <f>IF(F57+SUM(E$17:E57)=D$10,F57,D$10-SUM(E$17:E57))</f>
        <v>123224.78695652237</v>
      </c>
      <c r="E58" s="485">
        <f t="shared" si="6"/>
        <v>29755.066666666666</v>
      </c>
      <c r="F58" s="486">
        <f t="shared" si="7"/>
        <v>93469.720289855701</v>
      </c>
      <c r="G58" s="487">
        <f t="shared" si="8"/>
        <v>44418.286672503396</v>
      </c>
      <c r="H58" s="456">
        <f t="shared" si="9"/>
        <v>44418.286672503396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2059</v>
      </c>
      <c r="D59" s="484">
        <f>IF(F58+SUM(E$17:E58)=D$10,F58,D$10-SUM(E$17:E58))</f>
        <v>93469.720289855701</v>
      </c>
      <c r="E59" s="485">
        <f t="shared" si="6"/>
        <v>29755.066666666666</v>
      </c>
      <c r="F59" s="486">
        <f t="shared" si="7"/>
        <v>63714.653623189035</v>
      </c>
      <c r="G59" s="487">
        <f t="shared" si="8"/>
        <v>40391.372521646765</v>
      </c>
      <c r="H59" s="456">
        <f t="shared" si="9"/>
        <v>40391.372521646765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2060</v>
      </c>
      <c r="D60" s="484">
        <f>IF(F59+SUM(E$17:E59)=D$10,F59,D$10-SUM(E$17:E59))</f>
        <v>63714.653623189035</v>
      </c>
      <c r="E60" s="485">
        <f t="shared" si="6"/>
        <v>29755.066666666666</v>
      </c>
      <c r="F60" s="486">
        <f t="shared" si="7"/>
        <v>33959.586956522369</v>
      </c>
      <c r="G60" s="487">
        <f t="shared" si="8"/>
        <v>36364.458370790133</v>
      </c>
      <c r="H60" s="456">
        <f t="shared" si="9"/>
        <v>36364.458370790133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2061</v>
      </c>
      <c r="D61" s="484">
        <f>IF(F60+SUM(E$17:E60)=D$10,F60,D$10-SUM(E$17:E60))</f>
        <v>33959.586956522369</v>
      </c>
      <c r="E61" s="485">
        <f t="shared" si="6"/>
        <v>29755.066666666666</v>
      </c>
      <c r="F61" s="486">
        <f t="shared" si="7"/>
        <v>4204.5202898557036</v>
      </c>
      <c r="G61" s="487">
        <f t="shared" si="8"/>
        <v>32337.544219933501</v>
      </c>
      <c r="H61" s="456">
        <f t="shared" si="9"/>
        <v>32337.544219933501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2062</v>
      </c>
      <c r="D62" s="484">
        <f>IF(F61+SUM(E$17:E61)=D$10,F61,D$10-SUM(E$17:E61))</f>
        <v>4204.5202898557036</v>
      </c>
      <c r="E62" s="485">
        <f t="shared" si="6"/>
        <v>4204.5202898557036</v>
      </c>
      <c r="F62" s="486">
        <f t="shared" si="7"/>
        <v>0</v>
      </c>
      <c r="G62" s="487">
        <f t="shared" si="8"/>
        <v>4489.0305287749652</v>
      </c>
      <c r="H62" s="456">
        <f t="shared" si="9"/>
        <v>4489.0305287749652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2063</v>
      </c>
      <c r="D63" s="484">
        <f>IF(F62+SUM(E$17:E62)=D$10,F62,D$10-SUM(E$17:E62))</f>
        <v>0</v>
      </c>
      <c r="E63" s="485">
        <f t="shared" si="6"/>
        <v>0</v>
      </c>
      <c r="F63" s="486">
        <f t="shared" si="7"/>
        <v>0</v>
      </c>
      <c r="G63" s="487">
        <f t="shared" si="8"/>
        <v>0</v>
      </c>
      <c r="H63" s="456">
        <f t="shared" si="9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2064</v>
      </c>
      <c r="D64" s="484">
        <f>IF(F63+SUM(E$17:E63)=D$10,F63,D$10-SUM(E$17:E63))</f>
        <v>0</v>
      </c>
      <c r="E64" s="485">
        <f t="shared" si="6"/>
        <v>0</v>
      </c>
      <c r="F64" s="486">
        <f t="shared" si="7"/>
        <v>0</v>
      </c>
      <c r="G64" s="487">
        <f t="shared" si="8"/>
        <v>0</v>
      </c>
      <c r="H64" s="456">
        <f t="shared" si="9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2065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2066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2067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2068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2069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2070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2071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2072</v>
      </c>
      <c r="D72" s="613">
        <f>IF(F71+SUM(E$17:E71)=D$10,F71,D$10-SUM(E$17:E71))</f>
        <v>0</v>
      </c>
      <c r="E72" s="492">
        <f t="shared" si="6"/>
        <v>0</v>
      </c>
      <c r="F72" s="491">
        <f t="shared" si="7"/>
        <v>0</v>
      </c>
      <c r="G72" s="545">
        <f t="shared" si="8"/>
        <v>0</v>
      </c>
      <c r="H72" s="436">
        <f t="shared" si="9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1338978.0000000002</v>
      </c>
      <c r="F73" s="348"/>
      <c r="G73" s="348">
        <f>SUM(G17:G72)</f>
        <v>5296545.5341611933</v>
      </c>
      <c r="H73" s="348">
        <f>SUM(H17:H72)</f>
        <v>5296545.5341611933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19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175351.45606998727</v>
      </c>
      <c r="N87" s="509">
        <f>IF(J92&lt;D11,0,VLOOKUP(J92,C17:O72,11))</f>
        <v>175351.45606998727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163579.71352002863</v>
      </c>
      <c r="N88" s="513">
        <f>IF(J92&lt;D11,0,VLOOKUP(J92,C99:P154,7))</f>
        <v>163579.71352002863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Valliant-NW Texarkana 345 kV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-11771.742549958639</v>
      </c>
      <c r="N89" s="518">
        <f>+N88-N87</f>
        <v>-11771.742549958639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TP2009089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f>IF(D11=I10,0,D10)</f>
        <v>1338978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3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32658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2017</v>
      </c>
      <c r="D99" s="585">
        <v>0</v>
      </c>
      <c r="E99" s="609">
        <v>21831</v>
      </c>
      <c r="F99" s="585">
        <v>1317147</v>
      </c>
      <c r="G99" s="609">
        <v>658573.5</v>
      </c>
      <c r="H99" s="588">
        <v>105372.70906867021</v>
      </c>
      <c r="I99" s="608">
        <v>105372.70906867021</v>
      </c>
      <c r="J99" s="479">
        <f t="shared" ref="J99:J130" si="10">+I99-H99</f>
        <v>0</v>
      </c>
      <c r="K99" s="479"/>
      <c r="L99" s="478">
        <f>+H99</f>
        <v>105372.70906867021</v>
      </c>
      <c r="M99" s="478">
        <f t="shared" ref="M99:M130" si="11">IF(L99&lt;&gt;0,+H99-L99,0)</f>
        <v>0</v>
      </c>
      <c r="N99" s="478">
        <f>+I99</f>
        <v>105372.70906867021</v>
      </c>
      <c r="O99" s="478">
        <f t="shared" ref="O99:O130" si="12">IF(N99&lt;&gt;0,+I99-N99,0)</f>
        <v>0</v>
      </c>
      <c r="P99" s="478">
        <f t="shared" ref="P99:P130" si="13">+O99-M99</f>
        <v>0</v>
      </c>
    </row>
    <row r="100" spans="1:16" ht="12.5">
      <c r="B100" s="160" t="str">
        <f>IF(D100=F99,"","IU")</f>
        <v/>
      </c>
      <c r="C100" s="473">
        <f>IF(D93="","-",+C99+1)</f>
        <v>2018</v>
      </c>
      <c r="D100" s="579">
        <v>1317147</v>
      </c>
      <c r="E100" s="580">
        <v>31139</v>
      </c>
      <c r="F100" s="579">
        <v>1286008</v>
      </c>
      <c r="G100" s="580">
        <v>1301577.5</v>
      </c>
      <c r="H100" s="603">
        <v>164857.30223166285</v>
      </c>
      <c r="I100" s="579">
        <v>164857.30223166285</v>
      </c>
      <c r="J100" s="479">
        <f t="shared" si="10"/>
        <v>0</v>
      </c>
      <c r="K100" s="479"/>
      <c r="L100" s="477">
        <f>H100</f>
        <v>164857.30223166285</v>
      </c>
      <c r="M100" s="349">
        <f>IF(L100&lt;&gt;0,+H100-L100,0)</f>
        <v>0</v>
      </c>
      <c r="N100" s="477">
        <f>I100</f>
        <v>164857.30223166285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4">IF(D101=F100,"","IU")</f>
        <v/>
      </c>
      <c r="C101" s="473">
        <f>IF(D93="","-",+C100+1)</f>
        <v>2019</v>
      </c>
      <c r="D101" s="347">
        <f>IF(F100+SUM(E$99:E100)=D$92,F100,D$92-SUM(E$99:E100))</f>
        <v>1286008</v>
      </c>
      <c r="E101" s="485">
        <f t="shared" ref="E101:E154" si="15">IF(+J$96&lt;F100,J$96,D101)</f>
        <v>32658</v>
      </c>
      <c r="F101" s="486">
        <f t="shared" ref="F101:F154" si="16">+D101-E101</f>
        <v>1253350</v>
      </c>
      <c r="G101" s="486">
        <f t="shared" ref="G101:G154" si="17">+(F101+D101)/2</f>
        <v>1269679</v>
      </c>
      <c r="H101" s="614">
        <f t="shared" ref="H101:H154" si="18">+J$94*G101+E101</f>
        <v>163579.71352002863</v>
      </c>
      <c r="I101" s="615">
        <f t="shared" ref="I101:I154" si="19">+J$95*G101+E101</f>
        <v>163579.71352002863</v>
      </c>
      <c r="J101" s="479">
        <f t="shared" si="10"/>
        <v>0</v>
      </c>
      <c r="K101" s="479"/>
      <c r="L101" s="488"/>
      <c r="M101" s="479">
        <f t="shared" si="11"/>
        <v>0</v>
      </c>
      <c r="N101" s="488"/>
      <c r="O101" s="479">
        <f t="shared" si="12"/>
        <v>0</v>
      </c>
      <c r="P101" s="479">
        <f t="shared" si="13"/>
        <v>0</v>
      </c>
    </row>
    <row r="102" spans="1:16" ht="12.5">
      <c r="B102" s="160" t="str">
        <f t="shared" si="14"/>
        <v/>
      </c>
      <c r="C102" s="473">
        <f>IF(D93="","-",+C101+1)</f>
        <v>2020</v>
      </c>
      <c r="D102" s="347">
        <f>IF(F101+SUM(E$99:E101)=D$92,F101,D$92-SUM(E$99:E101))</f>
        <v>1253350</v>
      </c>
      <c r="E102" s="485">
        <f t="shared" si="15"/>
        <v>32658</v>
      </c>
      <c r="F102" s="486">
        <f t="shared" si="16"/>
        <v>1220692</v>
      </c>
      <c r="G102" s="486">
        <f t="shared" si="17"/>
        <v>1237021</v>
      </c>
      <c r="H102" s="614">
        <f t="shared" si="18"/>
        <v>160212.21565628739</v>
      </c>
      <c r="I102" s="615">
        <f t="shared" si="19"/>
        <v>160212.21565628739</v>
      </c>
      <c r="J102" s="479">
        <f t="shared" si="10"/>
        <v>0</v>
      </c>
      <c r="K102" s="479"/>
      <c r="L102" s="488"/>
      <c r="M102" s="479">
        <f t="shared" si="11"/>
        <v>0</v>
      </c>
      <c r="N102" s="488"/>
      <c r="O102" s="479">
        <f t="shared" si="12"/>
        <v>0</v>
      </c>
      <c r="P102" s="479">
        <f t="shared" si="13"/>
        <v>0</v>
      </c>
    </row>
    <row r="103" spans="1:16" ht="12.5">
      <c r="B103" s="160" t="str">
        <f t="shared" si="14"/>
        <v/>
      </c>
      <c r="C103" s="473">
        <f>IF(D93="","-",+C102+1)</f>
        <v>2021</v>
      </c>
      <c r="D103" s="347">
        <f>IF(F102+SUM(E$99:E102)=D$92,F102,D$92-SUM(E$99:E102))</f>
        <v>1220692</v>
      </c>
      <c r="E103" s="485">
        <f t="shared" si="15"/>
        <v>32658</v>
      </c>
      <c r="F103" s="486">
        <f t="shared" si="16"/>
        <v>1188034</v>
      </c>
      <c r="G103" s="486">
        <f t="shared" si="17"/>
        <v>1204363</v>
      </c>
      <c r="H103" s="614">
        <f t="shared" si="18"/>
        <v>156844.71779254617</v>
      </c>
      <c r="I103" s="615">
        <f t="shared" si="19"/>
        <v>156844.71779254617</v>
      </c>
      <c r="J103" s="479">
        <f t="shared" si="10"/>
        <v>0</v>
      </c>
      <c r="K103" s="479"/>
      <c r="L103" s="488"/>
      <c r="M103" s="479">
        <f t="shared" si="11"/>
        <v>0</v>
      </c>
      <c r="N103" s="488"/>
      <c r="O103" s="479">
        <f t="shared" si="12"/>
        <v>0</v>
      </c>
      <c r="P103" s="479">
        <f t="shared" si="13"/>
        <v>0</v>
      </c>
    </row>
    <row r="104" spans="1:16" ht="12.5">
      <c r="B104" s="160" t="str">
        <f t="shared" si="14"/>
        <v/>
      </c>
      <c r="C104" s="473">
        <f>IF(D93="","-",+C103+1)</f>
        <v>2022</v>
      </c>
      <c r="D104" s="347">
        <f>IF(F103+SUM(E$99:E103)=D$92,F103,D$92-SUM(E$99:E103))</f>
        <v>1188034</v>
      </c>
      <c r="E104" s="485">
        <f t="shared" si="15"/>
        <v>32658</v>
      </c>
      <c r="F104" s="486">
        <f t="shared" si="16"/>
        <v>1155376</v>
      </c>
      <c r="G104" s="486">
        <f t="shared" si="17"/>
        <v>1171705</v>
      </c>
      <c r="H104" s="614">
        <f t="shared" si="18"/>
        <v>153477.21992880496</v>
      </c>
      <c r="I104" s="615">
        <f t="shared" si="19"/>
        <v>153477.21992880496</v>
      </c>
      <c r="J104" s="479">
        <f t="shared" si="10"/>
        <v>0</v>
      </c>
      <c r="K104" s="479"/>
      <c r="L104" s="488"/>
      <c r="M104" s="479">
        <f t="shared" si="11"/>
        <v>0</v>
      </c>
      <c r="N104" s="488"/>
      <c r="O104" s="479">
        <f t="shared" si="12"/>
        <v>0</v>
      </c>
      <c r="P104" s="479">
        <f t="shared" si="13"/>
        <v>0</v>
      </c>
    </row>
    <row r="105" spans="1:16" ht="12.5">
      <c r="B105" s="160" t="str">
        <f t="shared" si="14"/>
        <v/>
      </c>
      <c r="C105" s="473">
        <f>IF(D93="","-",+C104+1)</f>
        <v>2023</v>
      </c>
      <c r="D105" s="347">
        <f>IF(F104+SUM(E$99:E104)=D$92,F104,D$92-SUM(E$99:E104))</f>
        <v>1155376</v>
      </c>
      <c r="E105" s="485">
        <f t="shared" si="15"/>
        <v>32658</v>
      </c>
      <c r="F105" s="486">
        <f t="shared" si="16"/>
        <v>1122718</v>
      </c>
      <c r="G105" s="486">
        <f t="shared" si="17"/>
        <v>1139047</v>
      </c>
      <c r="H105" s="614">
        <f t="shared" si="18"/>
        <v>150109.72206506372</v>
      </c>
      <c r="I105" s="615">
        <f t="shared" si="19"/>
        <v>150109.72206506372</v>
      </c>
      <c r="J105" s="479">
        <f t="shared" si="10"/>
        <v>0</v>
      </c>
      <c r="K105" s="479"/>
      <c r="L105" s="488"/>
      <c r="M105" s="479">
        <f t="shared" si="11"/>
        <v>0</v>
      </c>
      <c r="N105" s="488"/>
      <c r="O105" s="479">
        <f t="shared" si="12"/>
        <v>0</v>
      </c>
      <c r="P105" s="479">
        <f t="shared" si="13"/>
        <v>0</v>
      </c>
    </row>
    <row r="106" spans="1:16" ht="12.5">
      <c r="B106" s="160" t="str">
        <f t="shared" si="14"/>
        <v/>
      </c>
      <c r="C106" s="473">
        <f>IF(D93="","-",+C105+1)</f>
        <v>2024</v>
      </c>
      <c r="D106" s="347">
        <f>IF(F105+SUM(E$99:E105)=D$92,F105,D$92-SUM(E$99:E105))</f>
        <v>1122718</v>
      </c>
      <c r="E106" s="485">
        <f t="shared" si="15"/>
        <v>32658</v>
      </c>
      <c r="F106" s="486">
        <f t="shared" si="16"/>
        <v>1090060</v>
      </c>
      <c r="G106" s="486">
        <f t="shared" si="17"/>
        <v>1106389</v>
      </c>
      <c r="H106" s="614">
        <f t="shared" si="18"/>
        <v>146742.2242013225</v>
      </c>
      <c r="I106" s="615">
        <f t="shared" si="19"/>
        <v>146742.2242013225</v>
      </c>
      <c r="J106" s="479">
        <f t="shared" si="10"/>
        <v>0</v>
      </c>
      <c r="K106" s="479"/>
      <c r="L106" s="488"/>
      <c r="M106" s="479">
        <f t="shared" si="11"/>
        <v>0</v>
      </c>
      <c r="N106" s="488"/>
      <c r="O106" s="479">
        <f t="shared" si="12"/>
        <v>0</v>
      </c>
      <c r="P106" s="479">
        <f t="shared" si="13"/>
        <v>0</v>
      </c>
    </row>
    <row r="107" spans="1:16" ht="12.5">
      <c r="B107" s="160" t="str">
        <f t="shared" si="14"/>
        <v/>
      </c>
      <c r="C107" s="473">
        <f>IF(D93="","-",+C106+1)</f>
        <v>2025</v>
      </c>
      <c r="D107" s="347">
        <f>IF(F106+SUM(E$99:E106)=D$92,F106,D$92-SUM(E$99:E106))</f>
        <v>1090060</v>
      </c>
      <c r="E107" s="485">
        <f t="shared" si="15"/>
        <v>32658</v>
      </c>
      <c r="F107" s="486">
        <f t="shared" si="16"/>
        <v>1057402</v>
      </c>
      <c r="G107" s="486">
        <f t="shared" si="17"/>
        <v>1073731</v>
      </c>
      <c r="H107" s="614">
        <f t="shared" si="18"/>
        <v>143374.72633758129</v>
      </c>
      <c r="I107" s="615">
        <f t="shared" si="19"/>
        <v>143374.72633758129</v>
      </c>
      <c r="J107" s="479">
        <f t="shared" si="10"/>
        <v>0</v>
      </c>
      <c r="K107" s="479"/>
      <c r="L107" s="488"/>
      <c r="M107" s="479">
        <f t="shared" si="11"/>
        <v>0</v>
      </c>
      <c r="N107" s="488"/>
      <c r="O107" s="479">
        <f t="shared" si="12"/>
        <v>0</v>
      </c>
      <c r="P107" s="479">
        <f t="shared" si="13"/>
        <v>0</v>
      </c>
    </row>
    <row r="108" spans="1:16" ht="12.5">
      <c r="B108" s="160" t="str">
        <f t="shared" si="14"/>
        <v/>
      </c>
      <c r="C108" s="473">
        <f>IF(D93="","-",+C107+1)</f>
        <v>2026</v>
      </c>
      <c r="D108" s="347">
        <f>IF(F107+SUM(E$99:E107)=D$92,F107,D$92-SUM(E$99:E107))</f>
        <v>1057402</v>
      </c>
      <c r="E108" s="485">
        <f t="shared" si="15"/>
        <v>32658</v>
      </c>
      <c r="F108" s="486">
        <f t="shared" si="16"/>
        <v>1024744</v>
      </c>
      <c r="G108" s="486">
        <f t="shared" si="17"/>
        <v>1041073</v>
      </c>
      <c r="H108" s="614">
        <f t="shared" si="18"/>
        <v>140007.22847384005</v>
      </c>
      <c r="I108" s="615">
        <f t="shared" si="19"/>
        <v>140007.22847384005</v>
      </c>
      <c r="J108" s="479">
        <f t="shared" si="10"/>
        <v>0</v>
      </c>
      <c r="K108" s="479"/>
      <c r="L108" s="488"/>
      <c r="M108" s="479">
        <f t="shared" si="11"/>
        <v>0</v>
      </c>
      <c r="N108" s="488"/>
      <c r="O108" s="479">
        <f t="shared" si="12"/>
        <v>0</v>
      </c>
      <c r="P108" s="479">
        <f t="shared" si="13"/>
        <v>0</v>
      </c>
    </row>
    <row r="109" spans="1:16" ht="12.5">
      <c r="B109" s="160" t="str">
        <f t="shared" si="14"/>
        <v/>
      </c>
      <c r="C109" s="473">
        <f>IF(D93="","-",+C108+1)</f>
        <v>2027</v>
      </c>
      <c r="D109" s="347">
        <f>IF(F108+SUM(E$99:E108)=D$92,F108,D$92-SUM(E$99:E108))</f>
        <v>1024744</v>
      </c>
      <c r="E109" s="485">
        <f t="shared" si="15"/>
        <v>32658</v>
      </c>
      <c r="F109" s="486">
        <f t="shared" si="16"/>
        <v>992086</v>
      </c>
      <c r="G109" s="486">
        <f t="shared" si="17"/>
        <v>1008415</v>
      </c>
      <c r="H109" s="614">
        <f t="shared" si="18"/>
        <v>136639.73061009881</v>
      </c>
      <c r="I109" s="615">
        <f t="shared" si="19"/>
        <v>136639.73061009881</v>
      </c>
      <c r="J109" s="479">
        <f t="shared" si="10"/>
        <v>0</v>
      </c>
      <c r="K109" s="479"/>
      <c r="L109" s="488"/>
      <c r="M109" s="479">
        <f t="shared" si="11"/>
        <v>0</v>
      </c>
      <c r="N109" s="488"/>
      <c r="O109" s="479">
        <f t="shared" si="12"/>
        <v>0</v>
      </c>
      <c r="P109" s="479">
        <f t="shared" si="13"/>
        <v>0</v>
      </c>
    </row>
    <row r="110" spans="1:16" ht="12.5">
      <c r="B110" s="160" t="str">
        <f t="shared" si="14"/>
        <v/>
      </c>
      <c r="C110" s="473">
        <f>IF(D93="","-",+C109+1)</f>
        <v>2028</v>
      </c>
      <c r="D110" s="347">
        <f>IF(F109+SUM(E$99:E109)=D$92,F109,D$92-SUM(E$99:E109))</f>
        <v>992086</v>
      </c>
      <c r="E110" s="485">
        <f t="shared" si="15"/>
        <v>32658</v>
      </c>
      <c r="F110" s="486">
        <f t="shared" si="16"/>
        <v>959428</v>
      </c>
      <c r="G110" s="486">
        <f t="shared" si="17"/>
        <v>975757</v>
      </c>
      <c r="H110" s="614">
        <f t="shared" si="18"/>
        <v>133272.23274635759</v>
      </c>
      <c r="I110" s="615">
        <f t="shared" si="19"/>
        <v>133272.23274635759</v>
      </c>
      <c r="J110" s="479">
        <f t="shared" si="10"/>
        <v>0</v>
      </c>
      <c r="K110" s="479"/>
      <c r="L110" s="488"/>
      <c r="M110" s="479">
        <f t="shared" si="11"/>
        <v>0</v>
      </c>
      <c r="N110" s="488"/>
      <c r="O110" s="479">
        <f t="shared" si="12"/>
        <v>0</v>
      </c>
      <c r="P110" s="479">
        <f t="shared" si="13"/>
        <v>0</v>
      </c>
    </row>
    <row r="111" spans="1:16" ht="12.5">
      <c r="B111" s="160" t="str">
        <f t="shared" si="14"/>
        <v/>
      </c>
      <c r="C111" s="473">
        <f>IF(D93="","-",+C110+1)</f>
        <v>2029</v>
      </c>
      <c r="D111" s="347">
        <f>IF(F110+SUM(E$99:E110)=D$92,F110,D$92-SUM(E$99:E110))</f>
        <v>959428</v>
      </c>
      <c r="E111" s="485">
        <f t="shared" si="15"/>
        <v>32658</v>
      </c>
      <c r="F111" s="486">
        <f t="shared" si="16"/>
        <v>926770</v>
      </c>
      <c r="G111" s="486">
        <f t="shared" si="17"/>
        <v>943099</v>
      </c>
      <c r="H111" s="614">
        <f t="shared" si="18"/>
        <v>129904.73488261638</v>
      </c>
      <c r="I111" s="615">
        <f t="shared" si="19"/>
        <v>129904.73488261638</v>
      </c>
      <c r="J111" s="479">
        <f t="shared" si="10"/>
        <v>0</v>
      </c>
      <c r="K111" s="479"/>
      <c r="L111" s="488"/>
      <c r="M111" s="479">
        <f t="shared" si="11"/>
        <v>0</v>
      </c>
      <c r="N111" s="488"/>
      <c r="O111" s="479">
        <f t="shared" si="12"/>
        <v>0</v>
      </c>
      <c r="P111" s="479">
        <f t="shared" si="13"/>
        <v>0</v>
      </c>
    </row>
    <row r="112" spans="1:16" ht="12.5">
      <c r="B112" s="160" t="str">
        <f t="shared" si="14"/>
        <v/>
      </c>
      <c r="C112" s="473">
        <f>IF(D93="","-",+C111+1)</f>
        <v>2030</v>
      </c>
      <c r="D112" s="347">
        <f>IF(F111+SUM(E$99:E111)=D$92,F111,D$92-SUM(E$99:E111))</f>
        <v>926770</v>
      </c>
      <c r="E112" s="485">
        <f t="shared" si="15"/>
        <v>32658</v>
      </c>
      <c r="F112" s="486">
        <f t="shared" si="16"/>
        <v>894112</v>
      </c>
      <c r="G112" s="486">
        <f t="shared" si="17"/>
        <v>910441</v>
      </c>
      <c r="H112" s="614">
        <f t="shared" si="18"/>
        <v>126537.23701887515</v>
      </c>
      <c r="I112" s="615">
        <f t="shared" si="19"/>
        <v>126537.23701887515</v>
      </c>
      <c r="J112" s="479">
        <f t="shared" si="10"/>
        <v>0</v>
      </c>
      <c r="K112" s="479"/>
      <c r="L112" s="488"/>
      <c r="M112" s="479">
        <f t="shared" si="11"/>
        <v>0</v>
      </c>
      <c r="N112" s="488"/>
      <c r="O112" s="479">
        <f t="shared" si="12"/>
        <v>0</v>
      </c>
      <c r="P112" s="479">
        <f t="shared" si="13"/>
        <v>0</v>
      </c>
    </row>
    <row r="113" spans="2:16" ht="12.5">
      <c r="B113" s="160" t="str">
        <f t="shared" si="14"/>
        <v/>
      </c>
      <c r="C113" s="473">
        <f>IF(D93="","-",+C112+1)</f>
        <v>2031</v>
      </c>
      <c r="D113" s="347">
        <f>IF(F112+SUM(E$99:E112)=D$92,F112,D$92-SUM(E$99:E112))</f>
        <v>894112</v>
      </c>
      <c r="E113" s="485">
        <f t="shared" si="15"/>
        <v>32658</v>
      </c>
      <c r="F113" s="486">
        <f t="shared" si="16"/>
        <v>861454</v>
      </c>
      <c r="G113" s="486">
        <f t="shared" si="17"/>
        <v>877783</v>
      </c>
      <c r="H113" s="614">
        <f t="shared" si="18"/>
        <v>123169.73915513392</v>
      </c>
      <c r="I113" s="615">
        <f t="shared" si="19"/>
        <v>123169.73915513392</v>
      </c>
      <c r="J113" s="479">
        <f t="shared" si="10"/>
        <v>0</v>
      </c>
      <c r="K113" s="479"/>
      <c r="L113" s="488"/>
      <c r="M113" s="479">
        <f t="shared" si="11"/>
        <v>0</v>
      </c>
      <c r="N113" s="488"/>
      <c r="O113" s="479">
        <f t="shared" si="12"/>
        <v>0</v>
      </c>
      <c r="P113" s="479">
        <f t="shared" si="13"/>
        <v>0</v>
      </c>
    </row>
    <row r="114" spans="2:16" ht="12.5">
      <c r="B114" s="160" t="str">
        <f t="shared" si="14"/>
        <v/>
      </c>
      <c r="C114" s="473">
        <f>IF(D93="","-",+C113+1)</f>
        <v>2032</v>
      </c>
      <c r="D114" s="347">
        <f>IF(F113+SUM(E$99:E113)=D$92,F113,D$92-SUM(E$99:E113))</f>
        <v>861454</v>
      </c>
      <c r="E114" s="485">
        <f t="shared" si="15"/>
        <v>32658</v>
      </c>
      <c r="F114" s="486">
        <f t="shared" si="16"/>
        <v>828796</v>
      </c>
      <c r="G114" s="486">
        <f t="shared" si="17"/>
        <v>845125</v>
      </c>
      <c r="H114" s="614">
        <f t="shared" si="18"/>
        <v>119802.2412913927</v>
      </c>
      <c r="I114" s="615">
        <f t="shared" si="19"/>
        <v>119802.2412913927</v>
      </c>
      <c r="J114" s="479">
        <f t="shared" si="10"/>
        <v>0</v>
      </c>
      <c r="K114" s="479"/>
      <c r="L114" s="488"/>
      <c r="M114" s="479">
        <f t="shared" si="11"/>
        <v>0</v>
      </c>
      <c r="N114" s="488"/>
      <c r="O114" s="479">
        <f t="shared" si="12"/>
        <v>0</v>
      </c>
      <c r="P114" s="479">
        <f t="shared" si="13"/>
        <v>0</v>
      </c>
    </row>
    <row r="115" spans="2:16" ht="12.5">
      <c r="B115" s="160" t="str">
        <f t="shared" si="14"/>
        <v/>
      </c>
      <c r="C115" s="473">
        <f>IF(D93="","-",+C114+1)</f>
        <v>2033</v>
      </c>
      <c r="D115" s="347">
        <f>IF(F114+SUM(E$99:E114)=D$92,F114,D$92-SUM(E$99:E114))</f>
        <v>828796</v>
      </c>
      <c r="E115" s="485">
        <f t="shared" si="15"/>
        <v>32658</v>
      </c>
      <c r="F115" s="486">
        <f t="shared" si="16"/>
        <v>796138</v>
      </c>
      <c r="G115" s="486">
        <f t="shared" si="17"/>
        <v>812467</v>
      </c>
      <c r="H115" s="614">
        <f t="shared" si="18"/>
        <v>116434.74342765147</v>
      </c>
      <c r="I115" s="615">
        <f t="shared" si="19"/>
        <v>116434.74342765147</v>
      </c>
      <c r="J115" s="479">
        <f t="shared" si="10"/>
        <v>0</v>
      </c>
      <c r="K115" s="479"/>
      <c r="L115" s="488"/>
      <c r="M115" s="479">
        <f t="shared" si="11"/>
        <v>0</v>
      </c>
      <c r="N115" s="488"/>
      <c r="O115" s="479">
        <f t="shared" si="12"/>
        <v>0</v>
      </c>
      <c r="P115" s="479">
        <f t="shared" si="13"/>
        <v>0</v>
      </c>
    </row>
    <row r="116" spans="2:16" ht="12.5">
      <c r="B116" s="160" t="str">
        <f t="shared" si="14"/>
        <v/>
      </c>
      <c r="C116" s="473">
        <f>IF(D93="","-",+C115+1)</f>
        <v>2034</v>
      </c>
      <c r="D116" s="347">
        <f>IF(F115+SUM(E$99:E115)=D$92,F115,D$92-SUM(E$99:E115))</f>
        <v>796138</v>
      </c>
      <c r="E116" s="485">
        <f t="shared" si="15"/>
        <v>32658</v>
      </c>
      <c r="F116" s="486">
        <f t="shared" si="16"/>
        <v>763480</v>
      </c>
      <c r="G116" s="486">
        <f t="shared" si="17"/>
        <v>779809</v>
      </c>
      <c r="H116" s="614">
        <f t="shared" si="18"/>
        <v>113067.24556391026</v>
      </c>
      <c r="I116" s="615">
        <f t="shared" si="19"/>
        <v>113067.24556391026</v>
      </c>
      <c r="J116" s="479">
        <f t="shared" si="10"/>
        <v>0</v>
      </c>
      <c r="K116" s="479"/>
      <c r="L116" s="488"/>
      <c r="M116" s="479">
        <f t="shared" si="11"/>
        <v>0</v>
      </c>
      <c r="N116" s="488"/>
      <c r="O116" s="479">
        <f t="shared" si="12"/>
        <v>0</v>
      </c>
      <c r="P116" s="479">
        <f t="shared" si="13"/>
        <v>0</v>
      </c>
    </row>
    <row r="117" spans="2:16" ht="12.5">
      <c r="B117" s="160" t="str">
        <f t="shared" si="14"/>
        <v/>
      </c>
      <c r="C117" s="473">
        <f>IF(D93="","-",+C116+1)</f>
        <v>2035</v>
      </c>
      <c r="D117" s="347">
        <f>IF(F116+SUM(E$99:E116)=D$92,F116,D$92-SUM(E$99:E116))</f>
        <v>763480</v>
      </c>
      <c r="E117" s="485">
        <f t="shared" si="15"/>
        <v>32658</v>
      </c>
      <c r="F117" s="486">
        <f t="shared" si="16"/>
        <v>730822</v>
      </c>
      <c r="G117" s="486">
        <f t="shared" si="17"/>
        <v>747151</v>
      </c>
      <c r="H117" s="614">
        <f t="shared" si="18"/>
        <v>109699.74770016903</v>
      </c>
      <c r="I117" s="615">
        <f t="shared" si="19"/>
        <v>109699.74770016903</v>
      </c>
      <c r="J117" s="479">
        <f t="shared" si="10"/>
        <v>0</v>
      </c>
      <c r="K117" s="479"/>
      <c r="L117" s="488"/>
      <c r="M117" s="479">
        <f t="shared" si="11"/>
        <v>0</v>
      </c>
      <c r="N117" s="488"/>
      <c r="O117" s="479">
        <f t="shared" si="12"/>
        <v>0</v>
      </c>
      <c r="P117" s="479">
        <f t="shared" si="13"/>
        <v>0</v>
      </c>
    </row>
    <row r="118" spans="2:16" ht="12.5">
      <c r="B118" s="160" t="str">
        <f t="shared" si="14"/>
        <v/>
      </c>
      <c r="C118" s="473">
        <f>IF(D93="","-",+C117+1)</f>
        <v>2036</v>
      </c>
      <c r="D118" s="347">
        <f>IF(F117+SUM(E$99:E117)=D$92,F117,D$92-SUM(E$99:E117))</f>
        <v>730822</v>
      </c>
      <c r="E118" s="485">
        <f t="shared" si="15"/>
        <v>32658</v>
      </c>
      <c r="F118" s="486">
        <f t="shared" si="16"/>
        <v>698164</v>
      </c>
      <c r="G118" s="486">
        <f t="shared" si="17"/>
        <v>714493</v>
      </c>
      <c r="H118" s="614">
        <f t="shared" si="18"/>
        <v>106332.2498364278</v>
      </c>
      <c r="I118" s="615">
        <f t="shared" si="19"/>
        <v>106332.2498364278</v>
      </c>
      <c r="J118" s="479">
        <f t="shared" si="10"/>
        <v>0</v>
      </c>
      <c r="K118" s="479"/>
      <c r="L118" s="488"/>
      <c r="M118" s="479">
        <f t="shared" si="11"/>
        <v>0</v>
      </c>
      <c r="N118" s="488"/>
      <c r="O118" s="479">
        <f t="shared" si="12"/>
        <v>0</v>
      </c>
      <c r="P118" s="479">
        <f t="shared" si="13"/>
        <v>0</v>
      </c>
    </row>
    <row r="119" spans="2:16" ht="12.5">
      <c r="B119" s="160" t="str">
        <f t="shared" si="14"/>
        <v/>
      </c>
      <c r="C119" s="473">
        <f>IF(D93="","-",+C118+1)</f>
        <v>2037</v>
      </c>
      <c r="D119" s="347">
        <f>IF(F118+SUM(E$99:E118)=D$92,F118,D$92-SUM(E$99:E118))</f>
        <v>698164</v>
      </c>
      <c r="E119" s="485">
        <f t="shared" si="15"/>
        <v>32658</v>
      </c>
      <c r="F119" s="486">
        <f t="shared" si="16"/>
        <v>665506</v>
      </c>
      <c r="G119" s="486">
        <f t="shared" si="17"/>
        <v>681835</v>
      </c>
      <c r="H119" s="614">
        <f t="shared" si="18"/>
        <v>102964.75197268657</v>
      </c>
      <c r="I119" s="615">
        <f t="shared" si="19"/>
        <v>102964.75197268657</v>
      </c>
      <c r="J119" s="479">
        <f t="shared" si="10"/>
        <v>0</v>
      </c>
      <c r="K119" s="479"/>
      <c r="L119" s="488"/>
      <c r="M119" s="479">
        <f t="shared" si="11"/>
        <v>0</v>
      </c>
      <c r="N119" s="488"/>
      <c r="O119" s="479">
        <f t="shared" si="12"/>
        <v>0</v>
      </c>
      <c r="P119" s="479">
        <f t="shared" si="13"/>
        <v>0</v>
      </c>
    </row>
    <row r="120" spans="2:16" ht="12.5">
      <c r="B120" s="160" t="str">
        <f t="shared" si="14"/>
        <v/>
      </c>
      <c r="C120" s="473">
        <f>IF(D93="","-",+C119+1)</f>
        <v>2038</v>
      </c>
      <c r="D120" s="347">
        <f>IF(F119+SUM(E$99:E119)=D$92,F119,D$92-SUM(E$99:E119))</f>
        <v>665506</v>
      </c>
      <c r="E120" s="485">
        <f t="shared" si="15"/>
        <v>32658</v>
      </c>
      <c r="F120" s="486">
        <f t="shared" si="16"/>
        <v>632848</v>
      </c>
      <c r="G120" s="486">
        <f t="shared" si="17"/>
        <v>649177</v>
      </c>
      <c r="H120" s="614">
        <f t="shared" si="18"/>
        <v>99597.254108945344</v>
      </c>
      <c r="I120" s="615">
        <f t="shared" si="19"/>
        <v>99597.254108945344</v>
      </c>
      <c r="J120" s="479">
        <f t="shared" si="10"/>
        <v>0</v>
      </c>
      <c r="K120" s="479"/>
      <c r="L120" s="488"/>
      <c r="M120" s="479">
        <f t="shared" si="11"/>
        <v>0</v>
      </c>
      <c r="N120" s="488"/>
      <c r="O120" s="479">
        <f t="shared" si="12"/>
        <v>0</v>
      </c>
      <c r="P120" s="479">
        <f t="shared" si="13"/>
        <v>0</v>
      </c>
    </row>
    <row r="121" spans="2:16" ht="12.5">
      <c r="B121" s="160" t="str">
        <f t="shared" si="14"/>
        <v/>
      </c>
      <c r="C121" s="473">
        <f>IF(D93="","-",+C120+1)</f>
        <v>2039</v>
      </c>
      <c r="D121" s="347">
        <f>IF(F120+SUM(E$99:E120)=D$92,F120,D$92-SUM(E$99:E120))</f>
        <v>632848</v>
      </c>
      <c r="E121" s="485">
        <f t="shared" si="15"/>
        <v>32658</v>
      </c>
      <c r="F121" s="486">
        <f t="shared" si="16"/>
        <v>600190</v>
      </c>
      <c r="G121" s="486">
        <f t="shared" si="17"/>
        <v>616519</v>
      </c>
      <c r="H121" s="614">
        <f t="shared" si="18"/>
        <v>96229.756245204131</v>
      </c>
      <c r="I121" s="615">
        <f t="shared" si="19"/>
        <v>96229.756245204131</v>
      </c>
      <c r="J121" s="479">
        <f t="shared" si="10"/>
        <v>0</v>
      </c>
      <c r="K121" s="479"/>
      <c r="L121" s="488"/>
      <c r="M121" s="479">
        <f t="shared" si="11"/>
        <v>0</v>
      </c>
      <c r="N121" s="488"/>
      <c r="O121" s="479">
        <f t="shared" si="12"/>
        <v>0</v>
      </c>
      <c r="P121" s="479">
        <f t="shared" si="13"/>
        <v>0</v>
      </c>
    </row>
    <row r="122" spans="2:16" ht="12.5">
      <c r="B122" s="160" t="str">
        <f t="shared" si="14"/>
        <v/>
      </c>
      <c r="C122" s="473">
        <f>IF(D93="","-",+C121+1)</f>
        <v>2040</v>
      </c>
      <c r="D122" s="347">
        <f>IF(F121+SUM(E$99:E121)=D$92,F121,D$92-SUM(E$99:E121))</f>
        <v>600190</v>
      </c>
      <c r="E122" s="485">
        <f t="shared" si="15"/>
        <v>32658</v>
      </c>
      <c r="F122" s="486">
        <f t="shared" si="16"/>
        <v>567532</v>
      </c>
      <c r="G122" s="486">
        <f t="shared" si="17"/>
        <v>583861</v>
      </c>
      <c r="H122" s="614">
        <f t="shared" si="18"/>
        <v>92862.258381462889</v>
      </c>
      <c r="I122" s="615">
        <f t="shared" si="19"/>
        <v>92862.258381462889</v>
      </c>
      <c r="J122" s="479">
        <f t="shared" si="10"/>
        <v>0</v>
      </c>
      <c r="K122" s="479"/>
      <c r="L122" s="488"/>
      <c r="M122" s="479">
        <f t="shared" si="11"/>
        <v>0</v>
      </c>
      <c r="N122" s="488"/>
      <c r="O122" s="479">
        <f t="shared" si="12"/>
        <v>0</v>
      </c>
      <c r="P122" s="479">
        <f t="shared" si="13"/>
        <v>0</v>
      </c>
    </row>
    <row r="123" spans="2:16" ht="12.5">
      <c r="B123" s="160" t="str">
        <f t="shared" si="14"/>
        <v/>
      </c>
      <c r="C123" s="473">
        <f>IF(D93="","-",+C122+1)</f>
        <v>2041</v>
      </c>
      <c r="D123" s="347">
        <f>IF(F122+SUM(E$99:E122)=D$92,F122,D$92-SUM(E$99:E122))</f>
        <v>567532</v>
      </c>
      <c r="E123" s="485">
        <f t="shared" si="15"/>
        <v>32658</v>
      </c>
      <c r="F123" s="486">
        <f t="shared" si="16"/>
        <v>534874</v>
      </c>
      <c r="G123" s="486">
        <f t="shared" si="17"/>
        <v>551203</v>
      </c>
      <c r="H123" s="614">
        <f t="shared" si="18"/>
        <v>89494.760517721676</v>
      </c>
      <c r="I123" s="615">
        <f t="shared" si="19"/>
        <v>89494.760517721676</v>
      </c>
      <c r="J123" s="479">
        <f t="shared" si="10"/>
        <v>0</v>
      </c>
      <c r="K123" s="479"/>
      <c r="L123" s="488"/>
      <c r="M123" s="479">
        <f t="shared" si="11"/>
        <v>0</v>
      </c>
      <c r="N123" s="488"/>
      <c r="O123" s="479">
        <f t="shared" si="12"/>
        <v>0</v>
      </c>
      <c r="P123" s="479">
        <f t="shared" si="13"/>
        <v>0</v>
      </c>
    </row>
    <row r="124" spans="2:16" ht="12.5">
      <c r="B124" s="160" t="str">
        <f t="shared" si="14"/>
        <v/>
      </c>
      <c r="C124" s="473">
        <f>IF(D93="","-",+C123+1)</f>
        <v>2042</v>
      </c>
      <c r="D124" s="347">
        <f>IF(F123+SUM(E$99:E123)=D$92,F123,D$92-SUM(E$99:E123))</f>
        <v>534874</v>
      </c>
      <c r="E124" s="485">
        <f t="shared" si="15"/>
        <v>32658</v>
      </c>
      <c r="F124" s="486">
        <f t="shared" si="16"/>
        <v>502216</v>
      </c>
      <c r="G124" s="486">
        <f t="shared" si="17"/>
        <v>518545</v>
      </c>
      <c r="H124" s="614">
        <f t="shared" si="18"/>
        <v>86127.262653980448</v>
      </c>
      <c r="I124" s="615">
        <f t="shared" si="19"/>
        <v>86127.262653980448</v>
      </c>
      <c r="J124" s="479">
        <f t="shared" si="10"/>
        <v>0</v>
      </c>
      <c r="K124" s="479"/>
      <c r="L124" s="488"/>
      <c r="M124" s="479">
        <f t="shared" si="11"/>
        <v>0</v>
      </c>
      <c r="N124" s="488"/>
      <c r="O124" s="479">
        <f t="shared" si="12"/>
        <v>0</v>
      </c>
      <c r="P124" s="479">
        <f t="shared" si="13"/>
        <v>0</v>
      </c>
    </row>
    <row r="125" spans="2:16" ht="12.5">
      <c r="B125" s="160" t="str">
        <f t="shared" si="14"/>
        <v/>
      </c>
      <c r="C125" s="473">
        <f>IF(D93="","-",+C124+1)</f>
        <v>2043</v>
      </c>
      <c r="D125" s="347">
        <f>IF(F124+SUM(E$99:E124)=D$92,F124,D$92-SUM(E$99:E124))</f>
        <v>502216</v>
      </c>
      <c r="E125" s="485">
        <f t="shared" si="15"/>
        <v>32658</v>
      </c>
      <c r="F125" s="486">
        <f t="shared" si="16"/>
        <v>469558</v>
      </c>
      <c r="G125" s="486">
        <f t="shared" si="17"/>
        <v>485887</v>
      </c>
      <c r="H125" s="614">
        <f t="shared" si="18"/>
        <v>82759.76479023922</v>
      </c>
      <c r="I125" s="615">
        <f t="shared" si="19"/>
        <v>82759.76479023922</v>
      </c>
      <c r="J125" s="479">
        <f t="shared" si="10"/>
        <v>0</v>
      </c>
      <c r="K125" s="479"/>
      <c r="L125" s="488"/>
      <c r="M125" s="479">
        <f t="shared" si="11"/>
        <v>0</v>
      </c>
      <c r="N125" s="488"/>
      <c r="O125" s="479">
        <f t="shared" si="12"/>
        <v>0</v>
      </c>
      <c r="P125" s="479">
        <f t="shared" si="13"/>
        <v>0</v>
      </c>
    </row>
    <row r="126" spans="2:16" ht="12.5">
      <c r="B126" s="160" t="str">
        <f t="shared" si="14"/>
        <v/>
      </c>
      <c r="C126" s="473">
        <f>IF(D93="","-",+C125+1)</f>
        <v>2044</v>
      </c>
      <c r="D126" s="347">
        <f>IF(F125+SUM(E$99:E125)=D$92,F125,D$92-SUM(E$99:E125))</f>
        <v>469558</v>
      </c>
      <c r="E126" s="485">
        <f t="shared" si="15"/>
        <v>32658</v>
      </c>
      <c r="F126" s="486">
        <f t="shared" si="16"/>
        <v>436900</v>
      </c>
      <c r="G126" s="486">
        <f t="shared" si="17"/>
        <v>453229</v>
      </c>
      <c r="H126" s="614">
        <f t="shared" si="18"/>
        <v>79392.266926498007</v>
      </c>
      <c r="I126" s="615">
        <f t="shared" si="19"/>
        <v>79392.266926498007</v>
      </c>
      <c r="J126" s="479">
        <f t="shared" si="10"/>
        <v>0</v>
      </c>
      <c r="K126" s="479"/>
      <c r="L126" s="488"/>
      <c r="M126" s="479">
        <f t="shared" si="11"/>
        <v>0</v>
      </c>
      <c r="N126" s="488"/>
      <c r="O126" s="479">
        <f t="shared" si="12"/>
        <v>0</v>
      </c>
      <c r="P126" s="479">
        <f t="shared" si="13"/>
        <v>0</v>
      </c>
    </row>
    <row r="127" spans="2:16" ht="12.5">
      <c r="B127" s="160" t="str">
        <f t="shared" si="14"/>
        <v/>
      </c>
      <c r="C127" s="473">
        <f>IF(D93="","-",+C126+1)</f>
        <v>2045</v>
      </c>
      <c r="D127" s="347">
        <f>IF(F126+SUM(E$99:E126)=D$92,F126,D$92-SUM(E$99:E126))</f>
        <v>436900</v>
      </c>
      <c r="E127" s="485">
        <f t="shared" si="15"/>
        <v>32658</v>
      </c>
      <c r="F127" s="486">
        <f t="shared" si="16"/>
        <v>404242</v>
      </c>
      <c r="G127" s="486">
        <f t="shared" si="17"/>
        <v>420571</v>
      </c>
      <c r="H127" s="614">
        <f t="shared" si="18"/>
        <v>76024.769062756764</v>
      </c>
      <c r="I127" s="615">
        <f t="shared" si="19"/>
        <v>76024.769062756764</v>
      </c>
      <c r="J127" s="479">
        <f t="shared" si="10"/>
        <v>0</v>
      </c>
      <c r="K127" s="479"/>
      <c r="L127" s="488"/>
      <c r="M127" s="479">
        <f t="shared" si="11"/>
        <v>0</v>
      </c>
      <c r="N127" s="488"/>
      <c r="O127" s="479">
        <f t="shared" si="12"/>
        <v>0</v>
      </c>
      <c r="P127" s="479">
        <f t="shared" si="13"/>
        <v>0</v>
      </c>
    </row>
    <row r="128" spans="2:16" ht="12.5">
      <c r="B128" s="160" t="str">
        <f t="shared" si="14"/>
        <v/>
      </c>
      <c r="C128" s="473">
        <f>IF(D93="","-",+C127+1)</f>
        <v>2046</v>
      </c>
      <c r="D128" s="347">
        <f>IF(F127+SUM(E$99:E127)=D$92,F127,D$92-SUM(E$99:E127))</f>
        <v>404242</v>
      </c>
      <c r="E128" s="485">
        <f t="shared" si="15"/>
        <v>32658</v>
      </c>
      <c r="F128" s="486">
        <f t="shared" si="16"/>
        <v>371584</v>
      </c>
      <c r="G128" s="486">
        <f t="shared" si="17"/>
        <v>387913</v>
      </c>
      <c r="H128" s="614">
        <f t="shared" si="18"/>
        <v>72657.271199015551</v>
      </c>
      <c r="I128" s="615">
        <f t="shared" si="19"/>
        <v>72657.271199015551</v>
      </c>
      <c r="J128" s="479">
        <f t="shared" si="10"/>
        <v>0</v>
      </c>
      <c r="K128" s="479"/>
      <c r="L128" s="488"/>
      <c r="M128" s="479">
        <f t="shared" si="11"/>
        <v>0</v>
      </c>
      <c r="N128" s="488"/>
      <c r="O128" s="479">
        <f t="shared" si="12"/>
        <v>0</v>
      </c>
      <c r="P128" s="479">
        <f t="shared" si="13"/>
        <v>0</v>
      </c>
    </row>
    <row r="129" spans="2:16" ht="12.5">
      <c r="B129" s="160" t="str">
        <f t="shared" si="14"/>
        <v/>
      </c>
      <c r="C129" s="473">
        <f>IF(D93="","-",+C128+1)</f>
        <v>2047</v>
      </c>
      <c r="D129" s="347">
        <f>IF(F128+SUM(E$99:E128)=D$92,F128,D$92-SUM(E$99:E128))</f>
        <v>371584</v>
      </c>
      <c r="E129" s="485">
        <f t="shared" si="15"/>
        <v>32658</v>
      </c>
      <c r="F129" s="486">
        <f t="shared" si="16"/>
        <v>338926</v>
      </c>
      <c r="G129" s="486">
        <f t="shared" si="17"/>
        <v>355255</v>
      </c>
      <c r="H129" s="614">
        <f t="shared" si="18"/>
        <v>69289.773335274323</v>
      </c>
      <c r="I129" s="615">
        <f t="shared" si="19"/>
        <v>69289.773335274323</v>
      </c>
      <c r="J129" s="479">
        <f t="shared" si="10"/>
        <v>0</v>
      </c>
      <c r="K129" s="479"/>
      <c r="L129" s="488"/>
      <c r="M129" s="479">
        <f t="shared" si="11"/>
        <v>0</v>
      </c>
      <c r="N129" s="488"/>
      <c r="O129" s="479">
        <f t="shared" si="12"/>
        <v>0</v>
      </c>
      <c r="P129" s="479">
        <f t="shared" si="13"/>
        <v>0</v>
      </c>
    </row>
    <row r="130" spans="2:16" ht="12.5">
      <c r="B130" s="160" t="str">
        <f t="shared" si="14"/>
        <v/>
      </c>
      <c r="C130" s="473">
        <f>IF(D93="","-",+C129+1)</f>
        <v>2048</v>
      </c>
      <c r="D130" s="347">
        <f>IF(F129+SUM(E$99:E129)=D$92,F129,D$92-SUM(E$99:E129))</f>
        <v>338926</v>
      </c>
      <c r="E130" s="485">
        <f t="shared" si="15"/>
        <v>32658</v>
      </c>
      <c r="F130" s="486">
        <f t="shared" si="16"/>
        <v>306268</v>
      </c>
      <c r="G130" s="486">
        <f t="shared" si="17"/>
        <v>322597</v>
      </c>
      <c r="H130" s="614">
        <f t="shared" si="18"/>
        <v>65922.275471533096</v>
      </c>
      <c r="I130" s="615">
        <f t="shared" si="19"/>
        <v>65922.275471533096</v>
      </c>
      <c r="J130" s="479">
        <f t="shared" si="10"/>
        <v>0</v>
      </c>
      <c r="K130" s="479"/>
      <c r="L130" s="488"/>
      <c r="M130" s="479">
        <f t="shared" si="11"/>
        <v>0</v>
      </c>
      <c r="N130" s="488"/>
      <c r="O130" s="479">
        <f t="shared" si="12"/>
        <v>0</v>
      </c>
      <c r="P130" s="479">
        <f t="shared" si="13"/>
        <v>0</v>
      </c>
    </row>
    <row r="131" spans="2:16" ht="12.5">
      <c r="B131" s="160" t="str">
        <f t="shared" si="14"/>
        <v/>
      </c>
      <c r="C131" s="473">
        <f>IF(D93="","-",+C130+1)</f>
        <v>2049</v>
      </c>
      <c r="D131" s="347">
        <f>IF(F130+SUM(E$99:E130)=D$92,F130,D$92-SUM(E$99:E130))</f>
        <v>306268</v>
      </c>
      <c r="E131" s="485">
        <f t="shared" si="15"/>
        <v>32658</v>
      </c>
      <c r="F131" s="486">
        <f t="shared" si="16"/>
        <v>273610</v>
      </c>
      <c r="G131" s="486">
        <f t="shared" si="17"/>
        <v>289939</v>
      </c>
      <c r="H131" s="614">
        <f t="shared" si="18"/>
        <v>62554.777607791875</v>
      </c>
      <c r="I131" s="615">
        <f t="shared" si="19"/>
        <v>62554.777607791875</v>
      </c>
      <c r="J131" s="479">
        <f t="shared" ref="J131:J154" si="20">+I541-H541</f>
        <v>0</v>
      </c>
      <c r="K131" s="479"/>
      <c r="L131" s="488"/>
      <c r="M131" s="479">
        <f t="shared" ref="M131:M154" si="21">IF(L541&lt;&gt;0,+H541-L541,0)</f>
        <v>0</v>
      </c>
      <c r="N131" s="488"/>
      <c r="O131" s="479">
        <f t="shared" ref="O131:O154" si="22">IF(N541&lt;&gt;0,+I541-N541,0)</f>
        <v>0</v>
      </c>
      <c r="P131" s="479">
        <f t="shared" ref="P131:P154" si="23">+O541-M541</f>
        <v>0</v>
      </c>
    </row>
    <row r="132" spans="2:16" ht="12.5">
      <c r="B132" s="160" t="str">
        <f t="shared" si="14"/>
        <v/>
      </c>
      <c r="C132" s="473">
        <f>IF(D93="","-",+C131+1)</f>
        <v>2050</v>
      </c>
      <c r="D132" s="347">
        <f>IF(F131+SUM(E$99:E131)=D$92,F131,D$92-SUM(E$99:E131))</f>
        <v>273610</v>
      </c>
      <c r="E132" s="485">
        <f t="shared" si="15"/>
        <v>32658</v>
      </c>
      <c r="F132" s="486">
        <f t="shared" si="16"/>
        <v>240952</v>
      </c>
      <c r="G132" s="486">
        <f t="shared" si="17"/>
        <v>257281</v>
      </c>
      <c r="H132" s="614">
        <f t="shared" si="18"/>
        <v>59187.279744050647</v>
      </c>
      <c r="I132" s="615">
        <f t="shared" si="19"/>
        <v>59187.279744050647</v>
      </c>
      <c r="J132" s="479">
        <f t="shared" si="20"/>
        <v>0</v>
      </c>
      <c r="K132" s="479"/>
      <c r="L132" s="488"/>
      <c r="M132" s="479">
        <f t="shared" si="21"/>
        <v>0</v>
      </c>
      <c r="N132" s="488"/>
      <c r="O132" s="479">
        <f t="shared" si="22"/>
        <v>0</v>
      </c>
      <c r="P132" s="479">
        <f t="shared" si="23"/>
        <v>0</v>
      </c>
    </row>
    <row r="133" spans="2:16" ht="12.5">
      <c r="B133" s="160" t="str">
        <f t="shared" si="14"/>
        <v/>
      </c>
      <c r="C133" s="473">
        <f>IF(D93="","-",+C132+1)</f>
        <v>2051</v>
      </c>
      <c r="D133" s="347">
        <f>IF(F132+SUM(E$99:E132)=D$92,F132,D$92-SUM(E$99:E132))</f>
        <v>240952</v>
      </c>
      <c r="E133" s="485">
        <f t="shared" si="15"/>
        <v>32658</v>
      </c>
      <c r="F133" s="486">
        <f t="shared" si="16"/>
        <v>208294</v>
      </c>
      <c r="G133" s="486">
        <f t="shared" si="17"/>
        <v>224623</v>
      </c>
      <c r="H133" s="614">
        <f t="shared" si="18"/>
        <v>55819.781880309427</v>
      </c>
      <c r="I133" s="615">
        <f t="shared" si="19"/>
        <v>55819.781880309427</v>
      </c>
      <c r="J133" s="479">
        <f t="shared" si="20"/>
        <v>0</v>
      </c>
      <c r="K133" s="479"/>
      <c r="L133" s="488"/>
      <c r="M133" s="479">
        <f t="shared" si="21"/>
        <v>0</v>
      </c>
      <c r="N133" s="488"/>
      <c r="O133" s="479">
        <f t="shared" si="22"/>
        <v>0</v>
      </c>
      <c r="P133" s="479">
        <f t="shared" si="23"/>
        <v>0</v>
      </c>
    </row>
    <row r="134" spans="2:16" ht="12.5">
      <c r="B134" s="160" t="str">
        <f t="shared" si="14"/>
        <v/>
      </c>
      <c r="C134" s="473">
        <f>IF(D93="","-",+C133+1)</f>
        <v>2052</v>
      </c>
      <c r="D134" s="347">
        <f>IF(F133+SUM(E$99:E133)=D$92,F133,D$92-SUM(E$99:E133))</f>
        <v>208294</v>
      </c>
      <c r="E134" s="485">
        <f t="shared" si="15"/>
        <v>32658</v>
      </c>
      <c r="F134" s="486">
        <f t="shared" si="16"/>
        <v>175636</v>
      </c>
      <c r="G134" s="486">
        <f t="shared" si="17"/>
        <v>191965</v>
      </c>
      <c r="H134" s="614">
        <f t="shared" si="18"/>
        <v>52452.284016568199</v>
      </c>
      <c r="I134" s="615">
        <f t="shared" si="19"/>
        <v>52452.284016568199</v>
      </c>
      <c r="J134" s="479">
        <f t="shared" si="20"/>
        <v>0</v>
      </c>
      <c r="K134" s="479"/>
      <c r="L134" s="488"/>
      <c r="M134" s="479">
        <f t="shared" si="21"/>
        <v>0</v>
      </c>
      <c r="N134" s="488"/>
      <c r="O134" s="479">
        <f t="shared" si="22"/>
        <v>0</v>
      </c>
      <c r="P134" s="479">
        <f t="shared" si="23"/>
        <v>0</v>
      </c>
    </row>
    <row r="135" spans="2:16" ht="12.5">
      <c r="B135" s="160" t="str">
        <f t="shared" si="14"/>
        <v/>
      </c>
      <c r="C135" s="473">
        <f>IF(D93="","-",+C134+1)</f>
        <v>2053</v>
      </c>
      <c r="D135" s="347">
        <f>IF(F134+SUM(E$99:E134)=D$92,F134,D$92-SUM(E$99:E134))</f>
        <v>175636</v>
      </c>
      <c r="E135" s="485">
        <f t="shared" si="15"/>
        <v>32658</v>
      </c>
      <c r="F135" s="486">
        <f t="shared" si="16"/>
        <v>142978</v>
      </c>
      <c r="G135" s="486">
        <f t="shared" si="17"/>
        <v>159307</v>
      </c>
      <c r="H135" s="614">
        <f t="shared" si="18"/>
        <v>49084.786152826971</v>
      </c>
      <c r="I135" s="615">
        <f t="shared" si="19"/>
        <v>49084.786152826971</v>
      </c>
      <c r="J135" s="479">
        <f t="shared" si="20"/>
        <v>0</v>
      </c>
      <c r="K135" s="479"/>
      <c r="L135" s="488"/>
      <c r="M135" s="479">
        <f t="shared" si="21"/>
        <v>0</v>
      </c>
      <c r="N135" s="488"/>
      <c r="O135" s="479">
        <f t="shared" si="22"/>
        <v>0</v>
      </c>
      <c r="P135" s="479">
        <f t="shared" si="23"/>
        <v>0</v>
      </c>
    </row>
    <row r="136" spans="2:16" ht="12.5">
      <c r="B136" s="160" t="str">
        <f t="shared" si="14"/>
        <v/>
      </c>
      <c r="C136" s="473">
        <f>IF(D93="","-",+C135+1)</f>
        <v>2054</v>
      </c>
      <c r="D136" s="347">
        <f>IF(F135+SUM(E$99:E135)=D$92,F135,D$92-SUM(E$99:E135))</f>
        <v>142978</v>
      </c>
      <c r="E136" s="485">
        <f t="shared" si="15"/>
        <v>32658</v>
      </c>
      <c r="F136" s="486">
        <f t="shared" si="16"/>
        <v>110320</v>
      </c>
      <c r="G136" s="486">
        <f t="shared" si="17"/>
        <v>126649</v>
      </c>
      <c r="H136" s="614">
        <f t="shared" si="18"/>
        <v>45717.288289085751</v>
      </c>
      <c r="I136" s="615">
        <f t="shared" si="19"/>
        <v>45717.288289085751</v>
      </c>
      <c r="J136" s="479">
        <f t="shared" si="20"/>
        <v>0</v>
      </c>
      <c r="K136" s="479"/>
      <c r="L136" s="488"/>
      <c r="M136" s="479">
        <f t="shared" si="21"/>
        <v>0</v>
      </c>
      <c r="N136" s="488"/>
      <c r="O136" s="479">
        <f t="shared" si="22"/>
        <v>0</v>
      </c>
      <c r="P136" s="479">
        <f t="shared" si="23"/>
        <v>0</v>
      </c>
    </row>
    <row r="137" spans="2:16" ht="12.5">
      <c r="B137" s="160" t="str">
        <f t="shared" si="14"/>
        <v/>
      </c>
      <c r="C137" s="473">
        <f>IF(D93="","-",+C136+1)</f>
        <v>2055</v>
      </c>
      <c r="D137" s="347">
        <f>IF(F136+SUM(E$99:E136)=D$92,F136,D$92-SUM(E$99:E136))</f>
        <v>110320</v>
      </c>
      <c r="E137" s="485">
        <f t="shared" si="15"/>
        <v>32658</v>
      </c>
      <c r="F137" s="486">
        <f t="shared" si="16"/>
        <v>77662</v>
      </c>
      <c r="G137" s="486">
        <f t="shared" si="17"/>
        <v>93991</v>
      </c>
      <c r="H137" s="614">
        <f t="shared" si="18"/>
        <v>42349.790425344523</v>
      </c>
      <c r="I137" s="615">
        <f t="shared" si="19"/>
        <v>42349.790425344523</v>
      </c>
      <c r="J137" s="479">
        <f t="shared" si="20"/>
        <v>0</v>
      </c>
      <c r="K137" s="479"/>
      <c r="L137" s="488"/>
      <c r="M137" s="479">
        <f t="shared" si="21"/>
        <v>0</v>
      </c>
      <c r="N137" s="488"/>
      <c r="O137" s="479">
        <f t="shared" si="22"/>
        <v>0</v>
      </c>
      <c r="P137" s="479">
        <f t="shared" si="23"/>
        <v>0</v>
      </c>
    </row>
    <row r="138" spans="2:16" ht="12.5">
      <c r="B138" s="160" t="str">
        <f t="shared" si="14"/>
        <v/>
      </c>
      <c r="C138" s="473">
        <f>IF(D93="","-",+C137+1)</f>
        <v>2056</v>
      </c>
      <c r="D138" s="347">
        <f>IF(F137+SUM(E$99:E137)=D$92,F137,D$92-SUM(E$99:E137))</f>
        <v>77662</v>
      </c>
      <c r="E138" s="485">
        <f t="shared" si="15"/>
        <v>32658</v>
      </c>
      <c r="F138" s="486">
        <f t="shared" si="16"/>
        <v>45004</v>
      </c>
      <c r="G138" s="486">
        <f t="shared" si="17"/>
        <v>61333</v>
      </c>
      <c r="H138" s="614">
        <f t="shared" si="18"/>
        <v>38982.292561603303</v>
      </c>
      <c r="I138" s="615">
        <f t="shared" si="19"/>
        <v>38982.292561603303</v>
      </c>
      <c r="J138" s="479">
        <f t="shared" si="20"/>
        <v>0</v>
      </c>
      <c r="K138" s="479"/>
      <c r="L138" s="488"/>
      <c r="M138" s="479">
        <f t="shared" si="21"/>
        <v>0</v>
      </c>
      <c r="N138" s="488"/>
      <c r="O138" s="479">
        <f t="shared" si="22"/>
        <v>0</v>
      </c>
      <c r="P138" s="479">
        <f t="shared" si="23"/>
        <v>0</v>
      </c>
    </row>
    <row r="139" spans="2:16" ht="12.5">
      <c r="B139" s="160" t="str">
        <f t="shared" si="14"/>
        <v/>
      </c>
      <c r="C139" s="473">
        <f>IF(D93="","-",+C138+1)</f>
        <v>2057</v>
      </c>
      <c r="D139" s="347">
        <f>IF(F138+SUM(E$99:E138)=D$92,F138,D$92-SUM(E$99:E138))</f>
        <v>45004</v>
      </c>
      <c r="E139" s="485">
        <f t="shared" si="15"/>
        <v>32658</v>
      </c>
      <c r="F139" s="486">
        <f t="shared" si="16"/>
        <v>12346</v>
      </c>
      <c r="G139" s="486">
        <f t="shared" si="17"/>
        <v>28675</v>
      </c>
      <c r="H139" s="614">
        <f t="shared" si="18"/>
        <v>35614.794697862075</v>
      </c>
      <c r="I139" s="615">
        <f t="shared" si="19"/>
        <v>35614.794697862075</v>
      </c>
      <c r="J139" s="479">
        <f t="shared" si="20"/>
        <v>0</v>
      </c>
      <c r="K139" s="479"/>
      <c r="L139" s="488"/>
      <c r="M139" s="479">
        <f t="shared" si="21"/>
        <v>0</v>
      </c>
      <c r="N139" s="488"/>
      <c r="O139" s="479">
        <f t="shared" si="22"/>
        <v>0</v>
      </c>
      <c r="P139" s="479">
        <f t="shared" si="23"/>
        <v>0</v>
      </c>
    </row>
    <row r="140" spans="2:16" ht="12.5">
      <c r="B140" s="160" t="str">
        <f t="shared" si="14"/>
        <v/>
      </c>
      <c r="C140" s="473">
        <f>IF(D93="","-",+C139+1)</f>
        <v>2058</v>
      </c>
      <c r="D140" s="347">
        <f>IF(F139+SUM(E$99:E139)=D$92,F139,D$92-SUM(E$99:E139))</f>
        <v>12346</v>
      </c>
      <c r="E140" s="485">
        <f t="shared" si="15"/>
        <v>12346</v>
      </c>
      <c r="F140" s="486">
        <f t="shared" si="16"/>
        <v>0</v>
      </c>
      <c r="G140" s="486">
        <f t="shared" si="17"/>
        <v>6173</v>
      </c>
      <c r="H140" s="614">
        <f t="shared" si="18"/>
        <v>12982.52288299573</v>
      </c>
      <c r="I140" s="615">
        <f t="shared" si="19"/>
        <v>12982.52288299573</v>
      </c>
      <c r="J140" s="479">
        <f t="shared" si="20"/>
        <v>0</v>
      </c>
      <c r="K140" s="479"/>
      <c r="L140" s="488"/>
      <c r="M140" s="479">
        <f t="shared" si="21"/>
        <v>0</v>
      </c>
      <c r="N140" s="488"/>
      <c r="O140" s="479">
        <f t="shared" si="22"/>
        <v>0</v>
      </c>
      <c r="P140" s="479">
        <f t="shared" si="23"/>
        <v>0</v>
      </c>
    </row>
    <row r="141" spans="2:16" ht="12.5">
      <c r="B141" s="160" t="str">
        <f t="shared" si="14"/>
        <v/>
      </c>
      <c r="C141" s="473">
        <f>IF(D93="","-",+C140+1)</f>
        <v>2059</v>
      </c>
      <c r="D141" s="347">
        <f>IF(F140+SUM(E$99:E140)=D$92,F140,D$92-SUM(E$99:E140))</f>
        <v>0</v>
      </c>
      <c r="E141" s="485">
        <f t="shared" si="15"/>
        <v>0</v>
      </c>
      <c r="F141" s="486">
        <f t="shared" si="16"/>
        <v>0</v>
      </c>
      <c r="G141" s="486">
        <f t="shared" si="17"/>
        <v>0</v>
      </c>
      <c r="H141" s="614">
        <f t="shared" si="18"/>
        <v>0</v>
      </c>
      <c r="I141" s="615">
        <f t="shared" si="19"/>
        <v>0</v>
      </c>
      <c r="J141" s="479">
        <f t="shared" si="20"/>
        <v>0</v>
      </c>
      <c r="K141" s="479"/>
      <c r="L141" s="488"/>
      <c r="M141" s="479">
        <f t="shared" si="21"/>
        <v>0</v>
      </c>
      <c r="N141" s="488"/>
      <c r="O141" s="479">
        <f t="shared" si="22"/>
        <v>0</v>
      </c>
      <c r="P141" s="479">
        <f t="shared" si="23"/>
        <v>0</v>
      </c>
    </row>
    <row r="142" spans="2:16" ht="12.5">
      <c r="B142" s="160" t="str">
        <f t="shared" si="14"/>
        <v/>
      </c>
      <c r="C142" s="473">
        <f>IF(D93="","-",+C141+1)</f>
        <v>2060</v>
      </c>
      <c r="D142" s="347">
        <f>IF(F141+SUM(E$99:E141)=D$92,F141,D$92-SUM(E$99:E141))</f>
        <v>0</v>
      </c>
      <c r="E142" s="485">
        <f t="shared" si="15"/>
        <v>0</v>
      </c>
      <c r="F142" s="486">
        <f t="shared" si="16"/>
        <v>0</v>
      </c>
      <c r="G142" s="486">
        <f t="shared" si="17"/>
        <v>0</v>
      </c>
      <c r="H142" s="614">
        <f t="shared" si="18"/>
        <v>0</v>
      </c>
      <c r="I142" s="615">
        <f t="shared" si="19"/>
        <v>0</v>
      </c>
      <c r="J142" s="479">
        <f t="shared" si="20"/>
        <v>0</v>
      </c>
      <c r="K142" s="479"/>
      <c r="L142" s="488"/>
      <c r="M142" s="479">
        <f t="shared" si="21"/>
        <v>0</v>
      </c>
      <c r="N142" s="488"/>
      <c r="O142" s="479">
        <f t="shared" si="22"/>
        <v>0</v>
      </c>
      <c r="P142" s="479">
        <f t="shared" si="23"/>
        <v>0</v>
      </c>
    </row>
    <row r="143" spans="2:16" ht="12.5">
      <c r="B143" s="160" t="str">
        <f t="shared" si="14"/>
        <v/>
      </c>
      <c r="C143" s="473">
        <f>IF(D93="","-",+C142+1)</f>
        <v>2061</v>
      </c>
      <c r="D143" s="347">
        <f>IF(F142+SUM(E$99:E142)=D$92,F142,D$92-SUM(E$99:E142))</f>
        <v>0</v>
      </c>
      <c r="E143" s="485">
        <f t="shared" si="15"/>
        <v>0</v>
      </c>
      <c r="F143" s="486">
        <f t="shared" si="16"/>
        <v>0</v>
      </c>
      <c r="G143" s="486">
        <f t="shared" si="17"/>
        <v>0</v>
      </c>
      <c r="H143" s="614">
        <f t="shared" si="18"/>
        <v>0</v>
      </c>
      <c r="I143" s="615">
        <f t="shared" si="19"/>
        <v>0</v>
      </c>
      <c r="J143" s="479">
        <f t="shared" si="20"/>
        <v>0</v>
      </c>
      <c r="K143" s="479"/>
      <c r="L143" s="488"/>
      <c r="M143" s="479">
        <f t="shared" si="21"/>
        <v>0</v>
      </c>
      <c r="N143" s="488"/>
      <c r="O143" s="479">
        <f t="shared" si="22"/>
        <v>0</v>
      </c>
      <c r="P143" s="479">
        <f t="shared" si="23"/>
        <v>0</v>
      </c>
    </row>
    <row r="144" spans="2:16" ht="12.5">
      <c r="B144" s="160" t="str">
        <f t="shared" si="14"/>
        <v/>
      </c>
      <c r="C144" s="473">
        <f>IF(D93="","-",+C143+1)</f>
        <v>2062</v>
      </c>
      <c r="D144" s="347">
        <f>IF(F143+SUM(E$99:E143)=D$92,F143,D$92-SUM(E$99:E143))</f>
        <v>0</v>
      </c>
      <c r="E144" s="485">
        <f t="shared" si="15"/>
        <v>0</v>
      </c>
      <c r="F144" s="486">
        <f t="shared" si="16"/>
        <v>0</v>
      </c>
      <c r="G144" s="486">
        <f t="shared" si="17"/>
        <v>0</v>
      </c>
      <c r="H144" s="614">
        <f t="shared" si="18"/>
        <v>0</v>
      </c>
      <c r="I144" s="615">
        <f t="shared" si="19"/>
        <v>0</v>
      </c>
      <c r="J144" s="479">
        <f t="shared" si="20"/>
        <v>0</v>
      </c>
      <c r="K144" s="479"/>
      <c r="L144" s="488"/>
      <c r="M144" s="479">
        <f t="shared" si="21"/>
        <v>0</v>
      </c>
      <c r="N144" s="488"/>
      <c r="O144" s="479">
        <f t="shared" si="22"/>
        <v>0</v>
      </c>
      <c r="P144" s="479">
        <f t="shared" si="23"/>
        <v>0</v>
      </c>
    </row>
    <row r="145" spans="2:16" ht="12.5">
      <c r="B145" s="160" t="str">
        <f t="shared" si="14"/>
        <v/>
      </c>
      <c r="C145" s="473">
        <f>IF(D93="","-",+C144+1)</f>
        <v>2063</v>
      </c>
      <c r="D145" s="347">
        <f>IF(F144+SUM(E$99:E144)=D$92,F144,D$92-SUM(E$99:E144))</f>
        <v>0</v>
      </c>
      <c r="E145" s="485">
        <f t="shared" si="15"/>
        <v>0</v>
      </c>
      <c r="F145" s="486">
        <f t="shared" si="16"/>
        <v>0</v>
      </c>
      <c r="G145" s="486">
        <f t="shared" si="17"/>
        <v>0</v>
      </c>
      <c r="H145" s="614">
        <f t="shared" si="18"/>
        <v>0</v>
      </c>
      <c r="I145" s="615">
        <f t="shared" si="19"/>
        <v>0</v>
      </c>
      <c r="J145" s="479">
        <f t="shared" si="20"/>
        <v>0</v>
      </c>
      <c r="K145" s="479"/>
      <c r="L145" s="488"/>
      <c r="M145" s="479">
        <f t="shared" si="21"/>
        <v>0</v>
      </c>
      <c r="N145" s="488"/>
      <c r="O145" s="479">
        <f t="shared" si="22"/>
        <v>0</v>
      </c>
      <c r="P145" s="479">
        <f t="shared" si="23"/>
        <v>0</v>
      </c>
    </row>
    <row r="146" spans="2:16" ht="12.5">
      <c r="B146" s="160" t="str">
        <f t="shared" si="14"/>
        <v/>
      </c>
      <c r="C146" s="473">
        <f>IF(D93="","-",+C145+1)</f>
        <v>2064</v>
      </c>
      <c r="D146" s="347">
        <f>IF(F145+SUM(E$99:E145)=D$92,F145,D$92-SUM(E$99:E145))</f>
        <v>0</v>
      </c>
      <c r="E146" s="485">
        <f t="shared" si="15"/>
        <v>0</v>
      </c>
      <c r="F146" s="486">
        <f t="shared" si="16"/>
        <v>0</v>
      </c>
      <c r="G146" s="486">
        <f t="shared" si="17"/>
        <v>0</v>
      </c>
      <c r="H146" s="614">
        <f t="shared" si="18"/>
        <v>0</v>
      </c>
      <c r="I146" s="615">
        <f t="shared" si="19"/>
        <v>0</v>
      </c>
      <c r="J146" s="479">
        <f t="shared" si="20"/>
        <v>0</v>
      </c>
      <c r="K146" s="479"/>
      <c r="L146" s="488"/>
      <c r="M146" s="479">
        <f t="shared" si="21"/>
        <v>0</v>
      </c>
      <c r="N146" s="488"/>
      <c r="O146" s="479">
        <f t="shared" si="22"/>
        <v>0</v>
      </c>
      <c r="P146" s="479">
        <f t="shared" si="23"/>
        <v>0</v>
      </c>
    </row>
    <row r="147" spans="2:16" ht="12.5">
      <c r="B147" s="160" t="str">
        <f t="shared" si="14"/>
        <v/>
      </c>
      <c r="C147" s="473">
        <f>IF(D93="","-",+C146+1)</f>
        <v>2065</v>
      </c>
      <c r="D147" s="347">
        <f>IF(F146+SUM(E$99:E146)=D$92,F146,D$92-SUM(E$99:E146))</f>
        <v>0</v>
      </c>
      <c r="E147" s="485">
        <f t="shared" si="15"/>
        <v>0</v>
      </c>
      <c r="F147" s="486">
        <f t="shared" si="16"/>
        <v>0</v>
      </c>
      <c r="G147" s="486">
        <f t="shared" si="17"/>
        <v>0</v>
      </c>
      <c r="H147" s="614">
        <f t="shared" si="18"/>
        <v>0</v>
      </c>
      <c r="I147" s="615">
        <f t="shared" si="19"/>
        <v>0</v>
      </c>
      <c r="J147" s="479">
        <f t="shared" si="20"/>
        <v>0</v>
      </c>
      <c r="K147" s="479"/>
      <c r="L147" s="488"/>
      <c r="M147" s="479">
        <f t="shared" si="21"/>
        <v>0</v>
      </c>
      <c r="N147" s="488"/>
      <c r="O147" s="479">
        <f t="shared" si="22"/>
        <v>0</v>
      </c>
      <c r="P147" s="479">
        <f t="shared" si="23"/>
        <v>0</v>
      </c>
    </row>
    <row r="148" spans="2:16" ht="12.5">
      <c r="B148" s="160" t="str">
        <f t="shared" si="14"/>
        <v/>
      </c>
      <c r="C148" s="473">
        <f>IF(D93="","-",+C147+1)</f>
        <v>2066</v>
      </c>
      <c r="D148" s="347">
        <f>IF(F147+SUM(E$99:E147)=D$92,F147,D$92-SUM(E$99:E147))</f>
        <v>0</v>
      </c>
      <c r="E148" s="485">
        <f t="shared" si="15"/>
        <v>0</v>
      </c>
      <c r="F148" s="486">
        <f t="shared" si="16"/>
        <v>0</v>
      </c>
      <c r="G148" s="486">
        <f t="shared" si="17"/>
        <v>0</v>
      </c>
      <c r="H148" s="614">
        <f t="shared" si="18"/>
        <v>0</v>
      </c>
      <c r="I148" s="615">
        <f t="shared" si="19"/>
        <v>0</v>
      </c>
      <c r="J148" s="479">
        <f t="shared" si="20"/>
        <v>0</v>
      </c>
      <c r="K148" s="479"/>
      <c r="L148" s="488"/>
      <c r="M148" s="479">
        <f t="shared" si="21"/>
        <v>0</v>
      </c>
      <c r="N148" s="488"/>
      <c r="O148" s="479">
        <f t="shared" si="22"/>
        <v>0</v>
      </c>
      <c r="P148" s="479">
        <f t="shared" si="23"/>
        <v>0</v>
      </c>
    </row>
    <row r="149" spans="2:16" ht="12.5">
      <c r="B149" s="160" t="str">
        <f t="shared" si="14"/>
        <v/>
      </c>
      <c r="C149" s="473">
        <f>IF(D93="","-",+C148+1)</f>
        <v>2067</v>
      </c>
      <c r="D149" s="347">
        <f>IF(F148+SUM(E$99:E148)=D$92,F148,D$92-SUM(E$99:E148))</f>
        <v>0</v>
      </c>
      <c r="E149" s="485">
        <f t="shared" si="15"/>
        <v>0</v>
      </c>
      <c r="F149" s="486">
        <f t="shared" si="16"/>
        <v>0</v>
      </c>
      <c r="G149" s="486">
        <f t="shared" si="17"/>
        <v>0</v>
      </c>
      <c r="H149" s="614">
        <f t="shared" si="18"/>
        <v>0</v>
      </c>
      <c r="I149" s="615">
        <f t="shared" si="19"/>
        <v>0</v>
      </c>
      <c r="J149" s="479">
        <f t="shared" si="20"/>
        <v>0</v>
      </c>
      <c r="K149" s="479"/>
      <c r="L149" s="488"/>
      <c r="M149" s="479">
        <f t="shared" si="21"/>
        <v>0</v>
      </c>
      <c r="N149" s="488"/>
      <c r="O149" s="479">
        <f t="shared" si="22"/>
        <v>0</v>
      </c>
      <c r="P149" s="479">
        <f t="shared" si="23"/>
        <v>0</v>
      </c>
    </row>
    <row r="150" spans="2:16" ht="12.5">
      <c r="B150" s="160" t="str">
        <f t="shared" si="14"/>
        <v/>
      </c>
      <c r="C150" s="473">
        <f>IF(D93="","-",+C149+1)</f>
        <v>2068</v>
      </c>
      <c r="D150" s="347">
        <f>IF(F149+SUM(E$99:E149)=D$92,F149,D$92-SUM(E$99:E149))</f>
        <v>0</v>
      </c>
      <c r="E150" s="485">
        <f t="shared" si="15"/>
        <v>0</v>
      </c>
      <c r="F150" s="486">
        <f t="shared" si="16"/>
        <v>0</v>
      </c>
      <c r="G150" s="486">
        <f t="shared" si="17"/>
        <v>0</v>
      </c>
      <c r="H150" s="614">
        <f t="shared" si="18"/>
        <v>0</v>
      </c>
      <c r="I150" s="615">
        <f t="shared" si="19"/>
        <v>0</v>
      </c>
      <c r="J150" s="479">
        <f t="shared" si="20"/>
        <v>0</v>
      </c>
      <c r="K150" s="479"/>
      <c r="L150" s="488"/>
      <c r="M150" s="479">
        <f t="shared" si="21"/>
        <v>0</v>
      </c>
      <c r="N150" s="488"/>
      <c r="O150" s="479">
        <f t="shared" si="22"/>
        <v>0</v>
      </c>
      <c r="P150" s="479">
        <f t="shared" si="23"/>
        <v>0</v>
      </c>
    </row>
    <row r="151" spans="2:16" ht="12.5">
      <c r="B151" s="160" t="str">
        <f t="shared" si="14"/>
        <v/>
      </c>
      <c r="C151" s="473">
        <f>IF(D93="","-",+C150+1)</f>
        <v>2069</v>
      </c>
      <c r="D151" s="347">
        <f>IF(F150+SUM(E$99:E150)=D$92,F150,D$92-SUM(E$99:E150))</f>
        <v>0</v>
      </c>
      <c r="E151" s="485">
        <f t="shared" si="15"/>
        <v>0</v>
      </c>
      <c r="F151" s="486">
        <f t="shared" si="16"/>
        <v>0</v>
      </c>
      <c r="G151" s="486">
        <f t="shared" si="17"/>
        <v>0</v>
      </c>
      <c r="H151" s="614">
        <f t="shared" si="18"/>
        <v>0</v>
      </c>
      <c r="I151" s="615">
        <f t="shared" si="19"/>
        <v>0</v>
      </c>
      <c r="J151" s="479">
        <f t="shared" si="20"/>
        <v>0</v>
      </c>
      <c r="K151" s="479"/>
      <c r="L151" s="488"/>
      <c r="M151" s="479">
        <f t="shared" si="21"/>
        <v>0</v>
      </c>
      <c r="N151" s="488"/>
      <c r="O151" s="479">
        <f t="shared" si="22"/>
        <v>0</v>
      </c>
      <c r="P151" s="479">
        <f t="shared" si="23"/>
        <v>0</v>
      </c>
    </row>
    <row r="152" spans="2:16" ht="12.5">
      <c r="B152" s="160" t="str">
        <f t="shared" si="14"/>
        <v/>
      </c>
      <c r="C152" s="473">
        <f>IF(D93="","-",+C151+1)</f>
        <v>2070</v>
      </c>
      <c r="D152" s="347">
        <f>IF(F151+SUM(E$99:E151)=D$92,F151,D$92-SUM(E$99:E151))</f>
        <v>0</v>
      </c>
      <c r="E152" s="485">
        <f t="shared" si="15"/>
        <v>0</v>
      </c>
      <c r="F152" s="486">
        <f t="shared" si="16"/>
        <v>0</v>
      </c>
      <c r="G152" s="486">
        <f t="shared" si="17"/>
        <v>0</v>
      </c>
      <c r="H152" s="614">
        <f t="shared" si="18"/>
        <v>0</v>
      </c>
      <c r="I152" s="615">
        <f t="shared" si="19"/>
        <v>0</v>
      </c>
      <c r="J152" s="479">
        <f t="shared" si="20"/>
        <v>0</v>
      </c>
      <c r="K152" s="479"/>
      <c r="L152" s="488"/>
      <c r="M152" s="479">
        <f t="shared" si="21"/>
        <v>0</v>
      </c>
      <c r="N152" s="488"/>
      <c r="O152" s="479">
        <f t="shared" si="22"/>
        <v>0</v>
      </c>
      <c r="P152" s="479">
        <f t="shared" si="23"/>
        <v>0</v>
      </c>
    </row>
    <row r="153" spans="2:16" ht="12.5">
      <c r="B153" s="160" t="str">
        <f t="shared" si="14"/>
        <v/>
      </c>
      <c r="C153" s="473">
        <f>IF(D93="","-",+C152+1)</f>
        <v>2071</v>
      </c>
      <c r="D153" s="347">
        <f>IF(F152+SUM(E$99:E152)=D$92,F152,D$92-SUM(E$99:E152))</f>
        <v>0</v>
      </c>
      <c r="E153" s="485">
        <f t="shared" si="15"/>
        <v>0</v>
      </c>
      <c r="F153" s="486">
        <f t="shared" si="16"/>
        <v>0</v>
      </c>
      <c r="G153" s="486">
        <f t="shared" si="17"/>
        <v>0</v>
      </c>
      <c r="H153" s="614">
        <f t="shared" si="18"/>
        <v>0</v>
      </c>
      <c r="I153" s="615">
        <f t="shared" si="19"/>
        <v>0</v>
      </c>
      <c r="J153" s="479">
        <f t="shared" si="20"/>
        <v>0</v>
      </c>
      <c r="K153" s="479"/>
      <c r="L153" s="488"/>
      <c r="M153" s="479">
        <f t="shared" si="21"/>
        <v>0</v>
      </c>
      <c r="N153" s="488"/>
      <c r="O153" s="479">
        <f t="shared" si="22"/>
        <v>0</v>
      </c>
      <c r="P153" s="479">
        <f t="shared" si="23"/>
        <v>0</v>
      </c>
    </row>
    <row r="154" spans="2:16" ht="13" thickBot="1">
      <c r="B154" s="160" t="str">
        <f t="shared" si="14"/>
        <v/>
      </c>
      <c r="C154" s="490">
        <f>IF(D93="","-",+C153+1)</f>
        <v>2072</v>
      </c>
      <c r="D154" s="544">
        <f>IF(F153+SUM(E$99:E153)=D$92,F153,D$92-SUM(E$99:E153))</f>
        <v>0</v>
      </c>
      <c r="E154" s="492">
        <f t="shared" si="15"/>
        <v>0</v>
      </c>
      <c r="F154" s="491">
        <f t="shared" si="16"/>
        <v>0</v>
      </c>
      <c r="G154" s="491">
        <f t="shared" si="17"/>
        <v>0</v>
      </c>
      <c r="H154" s="616">
        <f t="shared" si="18"/>
        <v>0</v>
      </c>
      <c r="I154" s="617">
        <f t="shared" si="19"/>
        <v>0</v>
      </c>
      <c r="J154" s="496">
        <f t="shared" si="20"/>
        <v>0</v>
      </c>
      <c r="K154" s="479"/>
      <c r="L154" s="495"/>
      <c r="M154" s="496">
        <f t="shared" si="21"/>
        <v>0</v>
      </c>
      <c r="N154" s="495"/>
      <c r="O154" s="496">
        <f t="shared" si="22"/>
        <v>0</v>
      </c>
      <c r="P154" s="496">
        <f t="shared" si="23"/>
        <v>0</v>
      </c>
    </row>
    <row r="155" spans="2:16" ht="12.5">
      <c r="C155" s="347" t="s">
        <v>77</v>
      </c>
      <c r="D155" s="348"/>
      <c r="E155" s="348">
        <f>SUM(E99:E154)</f>
        <v>1338978</v>
      </c>
      <c r="F155" s="348"/>
      <c r="G155" s="348"/>
      <c r="H155" s="348">
        <f>SUM(H99:H154)</f>
        <v>4167505.4444321971</v>
      </c>
      <c r="I155" s="348">
        <f>SUM(I99:I154)</f>
        <v>4167505.4444321971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tabSelected="1" view="pageBreakPreview" topLeftCell="D1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20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153018.85490841107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153018.85490841107</v>
      </c>
      <c r="O6" s="233"/>
      <c r="P6" s="233"/>
    </row>
    <row r="7" spans="1:16" ht="13.5" thickBot="1">
      <c r="C7" s="432" t="s">
        <v>46</v>
      </c>
      <c r="D7" s="600" t="s">
        <v>282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298</v>
      </c>
      <c r="E9" s="578" t="s">
        <v>299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1919729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42660.644444444442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v>2017</v>
      </c>
      <c r="D17" s="585">
        <v>0</v>
      </c>
      <c r="E17" s="609">
        <v>0</v>
      </c>
      <c r="F17" s="585">
        <v>483000</v>
      </c>
      <c r="G17" s="609">
        <v>30733</v>
      </c>
      <c r="H17" s="588">
        <v>30733</v>
      </c>
      <c r="I17" s="476">
        <f t="shared" ref="I17:I72" si="0">H17-G17</f>
        <v>0</v>
      </c>
      <c r="J17" s="476"/>
      <c r="K17" s="478">
        <f>+G17</f>
        <v>30733</v>
      </c>
      <c r="L17" s="478">
        <f t="shared" ref="L17:L72" si="1">IF(K17&lt;&gt;0,+G17-K17,0)</f>
        <v>0</v>
      </c>
      <c r="M17" s="478">
        <f>+H17</f>
        <v>30733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2018</v>
      </c>
      <c r="D18" s="585">
        <v>483000</v>
      </c>
      <c r="E18" s="586">
        <v>10555.555555555555</v>
      </c>
      <c r="F18" s="585">
        <v>1140000</v>
      </c>
      <c r="G18" s="586">
        <v>78818.151758984837</v>
      </c>
      <c r="H18" s="588">
        <v>78818.151758984837</v>
      </c>
      <c r="I18" s="476">
        <f t="shared" si="0"/>
        <v>0</v>
      </c>
      <c r="J18" s="476"/>
      <c r="K18" s="479">
        <f>+G18</f>
        <v>78818.151758984837</v>
      </c>
      <c r="L18" s="479">
        <f t="shared" si="1"/>
        <v>0</v>
      </c>
      <c r="M18" s="479">
        <f>+H18</f>
        <v>78818.151758984837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2019</v>
      </c>
      <c r="D19" s="585">
        <v>1129444.4444444445</v>
      </c>
      <c r="E19" s="586">
        <v>28500</v>
      </c>
      <c r="F19" s="585">
        <v>1100944.4444444445</v>
      </c>
      <c r="G19" s="586">
        <v>153018.85490841107</v>
      </c>
      <c r="H19" s="588">
        <v>153018.85490841107</v>
      </c>
      <c r="I19" s="476">
        <f t="shared" si="0"/>
        <v>0</v>
      </c>
      <c r="J19" s="476"/>
      <c r="K19" s="479">
        <f>+G19</f>
        <v>153018.85490841107</v>
      </c>
      <c r="L19" s="479">
        <f t="shared" ref="L19" si="4">IF(K19&lt;&gt;0,+G19-K19,0)</f>
        <v>0</v>
      </c>
      <c r="M19" s="479">
        <f>+H19</f>
        <v>153018.85490841107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2020</v>
      </c>
      <c r="D20" s="484">
        <f>IF(F19+SUM(E$17:E19)=D$10,F19,D$10-SUM(E$17:E19))</f>
        <v>1880673.4444444445</v>
      </c>
      <c r="E20" s="485">
        <f t="shared" ref="E20:E72" si="6">IF(+I$14&lt;F19,I$14,D20)</f>
        <v>42660.644444444442</v>
      </c>
      <c r="F20" s="486">
        <f t="shared" ref="F20:F72" si="7">+D20-E20</f>
        <v>1838012.8</v>
      </c>
      <c r="G20" s="487">
        <f t="shared" ref="G20:G72" si="8">(D20+F20)/2*I$12+E20</f>
        <v>294295.60846764554</v>
      </c>
      <c r="H20" s="456">
        <f t="shared" ref="H20:H72" si="9">+(D20+F20)/2*I$13+E20</f>
        <v>294295.60846764554</v>
      </c>
      <c r="I20" s="476">
        <f t="shared" si="0"/>
        <v>0</v>
      </c>
      <c r="J20" s="476"/>
      <c r="K20" s="488"/>
      <c r="L20" s="479">
        <f t="shared" si="1"/>
        <v>0</v>
      </c>
      <c r="M20" s="488"/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/>
      </c>
      <c r="C21" s="473">
        <f>IF(D11="","-",+C20+1)</f>
        <v>2021</v>
      </c>
      <c r="D21" s="484">
        <f>IF(F20+SUM(E$17:E20)=D$10,F20,D$10-SUM(E$17:E20))</f>
        <v>1838012.8</v>
      </c>
      <c r="E21" s="485">
        <f t="shared" si="6"/>
        <v>42660.644444444442</v>
      </c>
      <c r="F21" s="486">
        <f t="shared" si="7"/>
        <v>1795352.1555555556</v>
      </c>
      <c r="G21" s="487">
        <f t="shared" si="8"/>
        <v>288522.11265523493</v>
      </c>
      <c r="H21" s="456">
        <f t="shared" si="9"/>
        <v>288522.11265523493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2022</v>
      </c>
      <c r="D22" s="484">
        <f>IF(F21+SUM(E$17:E21)=D$10,F21,D$10-SUM(E$17:E21))</f>
        <v>1795352.1555555556</v>
      </c>
      <c r="E22" s="485">
        <f t="shared" si="6"/>
        <v>42660.644444444442</v>
      </c>
      <c r="F22" s="486">
        <f t="shared" si="7"/>
        <v>1752691.5111111111</v>
      </c>
      <c r="G22" s="487">
        <f t="shared" si="8"/>
        <v>282748.61684282444</v>
      </c>
      <c r="H22" s="456">
        <f t="shared" si="9"/>
        <v>282748.61684282444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2023</v>
      </c>
      <c r="D23" s="484">
        <f>IF(F22+SUM(E$17:E22)=D$10,F22,D$10-SUM(E$17:E22))</f>
        <v>1752691.5111111111</v>
      </c>
      <c r="E23" s="485">
        <f t="shared" si="6"/>
        <v>42660.644444444442</v>
      </c>
      <c r="F23" s="486">
        <f t="shared" si="7"/>
        <v>1710030.8666666667</v>
      </c>
      <c r="G23" s="487">
        <f t="shared" si="8"/>
        <v>276975.12103041384</v>
      </c>
      <c r="H23" s="456">
        <f t="shared" si="9"/>
        <v>276975.12103041384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2024</v>
      </c>
      <c r="D24" s="484">
        <f>IF(F23+SUM(E$17:E23)=D$10,F23,D$10-SUM(E$17:E23))</f>
        <v>1710030.8666666667</v>
      </c>
      <c r="E24" s="485">
        <f t="shared" si="6"/>
        <v>42660.644444444442</v>
      </c>
      <c r="F24" s="486">
        <f t="shared" si="7"/>
        <v>1667370.2222222222</v>
      </c>
      <c r="G24" s="487">
        <f t="shared" si="8"/>
        <v>271201.62521800335</v>
      </c>
      <c r="H24" s="456">
        <f t="shared" si="9"/>
        <v>271201.62521800335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2025</v>
      </c>
      <c r="D25" s="484">
        <f>IF(F24+SUM(E$17:E24)=D$10,F24,D$10-SUM(E$17:E24))</f>
        <v>1667370.2222222222</v>
      </c>
      <c r="E25" s="485">
        <f t="shared" si="6"/>
        <v>42660.644444444442</v>
      </c>
      <c r="F25" s="486">
        <f t="shared" si="7"/>
        <v>1624709.5777777778</v>
      </c>
      <c r="G25" s="487">
        <f t="shared" si="8"/>
        <v>265428.12940559274</v>
      </c>
      <c r="H25" s="456">
        <f t="shared" si="9"/>
        <v>265428.12940559274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2026</v>
      </c>
      <c r="D26" s="484">
        <f>IF(F25+SUM(E$17:E25)=D$10,F25,D$10-SUM(E$17:E25))</f>
        <v>1624709.5777777778</v>
      </c>
      <c r="E26" s="485">
        <f t="shared" si="6"/>
        <v>42660.644444444442</v>
      </c>
      <c r="F26" s="486">
        <f t="shared" si="7"/>
        <v>1582048.9333333333</v>
      </c>
      <c r="G26" s="487">
        <f t="shared" si="8"/>
        <v>259654.63359318225</v>
      </c>
      <c r="H26" s="456">
        <f t="shared" si="9"/>
        <v>259654.63359318225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2027</v>
      </c>
      <c r="D27" s="484">
        <f>IF(F26+SUM(E$17:E26)=D$10,F26,D$10-SUM(E$17:E26))</f>
        <v>1582048.9333333333</v>
      </c>
      <c r="E27" s="485">
        <f t="shared" si="6"/>
        <v>42660.644444444442</v>
      </c>
      <c r="F27" s="486">
        <f t="shared" si="7"/>
        <v>1539388.2888888889</v>
      </c>
      <c r="G27" s="487">
        <f t="shared" si="8"/>
        <v>253881.13778077168</v>
      </c>
      <c r="H27" s="456">
        <f t="shared" si="9"/>
        <v>253881.13778077168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2028</v>
      </c>
      <c r="D28" s="484">
        <f>IF(F27+SUM(E$17:E27)=D$10,F27,D$10-SUM(E$17:E27))</f>
        <v>1539388.2888888889</v>
      </c>
      <c r="E28" s="485">
        <f t="shared" si="6"/>
        <v>42660.644444444442</v>
      </c>
      <c r="F28" s="486">
        <f t="shared" si="7"/>
        <v>1496727.6444444444</v>
      </c>
      <c r="G28" s="487">
        <f t="shared" si="8"/>
        <v>248107.64196836116</v>
      </c>
      <c r="H28" s="456">
        <f t="shared" si="9"/>
        <v>248107.64196836116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2029</v>
      </c>
      <c r="D29" s="484">
        <f>IF(F28+SUM(E$17:E28)=D$10,F28,D$10-SUM(E$17:E28))</f>
        <v>1496727.6444444444</v>
      </c>
      <c r="E29" s="485">
        <f t="shared" si="6"/>
        <v>42660.644444444442</v>
      </c>
      <c r="F29" s="486">
        <f t="shared" si="7"/>
        <v>1454067</v>
      </c>
      <c r="G29" s="487">
        <f t="shared" si="8"/>
        <v>242334.14615595058</v>
      </c>
      <c r="H29" s="456">
        <f t="shared" si="9"/>
        <v>242334.14615595058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2030</v>
      </c>
      <c r="D30" s="484">
        <f>IF(F29+SUM(E$17:E29)=D$10,F29,D$10-SUM(E$17:E29))</f>
        <v>1454067</v>
      </c>
      <c r="E30" s="485">
        <f t="shared" si="6"/>
        <v>42660.644444444442</v>
      </c>
      <c r="F30" s="486">
        <f t="shared" si="7"/>
        <v>1411406.3555555556</v>
      </c>
      <c r="G30" s="487">
        <f t="shared" si="8"/>
        <v>236560.65034354007</v>
      </c>
      <c r="H30" s="456">
        <f t="shared" si="9"/>
        <v>236560.65034354007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2031</v>
      </c>
      <c r="D31" s="484">
        <f>IF(F30+SUM(E$17:E30)=D$10,F30,D$10-SUM(E$17:E30))</f>
        <v>1411406.3555555556</v>
      </c>
      <c r="E31" s="485">
        <f t="shared" si="6"/>
        <v>42660.644444444442</v>
      </c>
      <c r="F31" s="486">
        <f t="shared" si="7"/>
        <v>1368745.7111111111</v>
      </c>
      <c r="G31" s="487">
        <f t="shared" si="8"/>
        <v>230787.15453112949</v>
      </c>
      <c r="H31" s="456">
        <f t="shared" si="9"/>
        <v>230787.15453112949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2032</v>
      </c>
      <c r="D32" s="484">
        <f>IF(F31+SUM(E$17:E31)=D$10,F31,D$10-SUM(E$17:E31))</f>
        <v>1368745.7111111111</v>
      </c>
      <c r="E32" s="485">
        <f t="shared" si="6"/>
        <v>42660.644444444442</v>
      </c>
      <c r="F32" s="486">
        <f t="shared" si="7"/>
        <v>1326085.0666666667</v>
      </c>
      <c r="G32" s="487">
        <f t="shared" si="8"/>
        <v>225013.65871871897</v>
      </c>
      <c r="H32" s="456">
        <f t="shared" si="9"/>
        <v>225013.65871871897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2033</v>
      </c>
      <c r="D33" s="484">
        <f>IF(F32+SUM(E$17:E32)=D$10,F32,D$10-SUM(E$17:E32))</f>
        <v>1326085.0666666667</v>
      </c>
      <c r="E33" s="485">
        <f t="shared" si="6"/>
        <v>42660.644444444442</v>
      </c>
      <c r="F33" s="486">
        <f t="shared" si="7"/>
        <v>1283424.4222222222</v>
      </c>
      <c r="G33" s="487">
        <f t="shared" si="8"/>
        <v>219240.1629063084</v>
      </c>
      <c r="H33" s="456">
        <f t="shared" si="9"/>
        <v>219240.1629063084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2034</v>
      </c>
      <c r="D34" s="484">
        <f>IF(F33+SUM(E$17:E33)=D$10,F33,D$10-SUM(E$17:E33))</f>
        <v>1283424.4222222222</v>
      </c>
      <c r="E34" s="485">
        <f t="shared" si="6"/>
        <v>42660.644444444442</v>
      </c>
      <c r="F34" s="486">
        <f t="shared" si="7"/>
        <v>1240763.7777777778</v>
      </c>
      <c r="G34" s="487">
        <f t="shared" si="8"/>
        <v>213466.66709389788</v>
      </c>
      <c r="H34" s="456">
        <f t="shared" si="9"/>
        <v>213466.66709389788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2035</v>
      </c>
      <c r="D35" s="484">
        <f>IF(F34+SUM(E$17:E34)=D$10,F34,D$10-SUM(E$17:E34))</f>
        <v>1240763.7777777778</v>
      </c>
      <c r="E35" s="485">
        <f t="shared" si="6"/>
        <v>42660.644444444442</v>
      </c>
      <c r="F35" s="486">
        <f t="shared" si="7"/>
        <v>1198103.1333333333</v>
      </c>
      <c r="G35" s="487">
        <f t="shared" si="8"/>
        <v>207693.1712814873</v>
      </c>
      <c r="H35" s="456">
        <f t="shared" si="9"/>
        <v>207693.1712814873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2036</v>
      </c>
      <c r="D36" s="484">
        <f>IF(F35+SUM(E$17:E35)=D$10,F35,D$10-SUM(E$17:E35))</f>
        <v>1198103.1333333333</v>
      </c>
      <c r="E36" s="485">
        <f t="shared" si="6"/>
        <v>42660.644444444442</v>
      </c>
      <c r="F36" s="486">
        <f t="shared" si="7"/>
        <v>1155442.4888888889</v>
      </c>
      <c r="G36" s="487">
        <f t="shared" si="8"/>
        <v>201919.67546907678</v>
      </c>
      <c r="H36" s="456">
        <f t="shared" si="9"/>
        <v>201919.67546907678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2037</v>
      </c>
      <c r="D37" s="484">
        <f>IF(F36+SUM(E$17:E36)=D$10,F36,D$10-SUM(E$17:E36))</f>
        <v>1155442.4888888889</v>
      </c>
      <c r="E37" s="485">
        <f t="shared" si="6"/>
        <v>42660.644444444442</v>
      </c>
      <c r="F37" s="486">
        <f t="shared" si="7"/>
        <v>1112781.8444444444</v>
      </c>
      <c r="G37" s="487">
        <f t="shared" si="8"/>
        <v>196146.17965666621</v>
      </c>
      <c r="H37" s="456">
        <f t="shared" si="9"/>
        <v>196146.17965666621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2038</v>
      </c>
      <c r="D38" s="484">
        <f>IF(F37+SUM(E$17:E37)=D$10,F37,D$10-SUM(E$17:E37))</f>
        <v>1112781.8444444444</v>
      </c>
      <c r="E38" s="485">
        <f t="shared" si="6"/>
        <v>42660.644444444442</v>
      </c>
      <c r="F38" s="486">
        <f t="shared" si="7"/>
        <v>1070121.2</v>
      </c>
      <c r="G38" s="487">
        <f t="shared" si="8"/>
        <v>190372.68384425569</v>
      </c>
      <c r="H38" s="456">
        <f t="shared" si="9"/>
        <v>190372.68384425569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2039</v>
      </c>
      <c r="D39" s="484">
        <f>IF(F38+SUM(E$17:E38)=D$10,F38,D$10-SUM(E$17:E38))</f>
        <v>1070121.2</v>
      </c>
      <c r="E39" s="485">
        <f t="shared" si="6"/>
        <v>42660.644444444442</v>
      </c>
      <c r="F39" s="486">
        <f t="shared" si="7"/>
        <v>1027460.5555555555</v>
      </c>
      <c r="G39" s="487">
        <f t="shared" si="8"/>
        <v>184599.18803184511</v>
      </c>
      <c r="H39" s="456">
        <f t="shared" si="9"/>
        <v>184599.18803184511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2040</v>
      </c>
      <c r="D40" s="484">
        <f>IF(F39+SUM(E$17:E39)=D$10,F39,D$10-SUM(E$17:E39))</f>
        <v>1027460.5555555555</v>
      </c>
      <c r="E40" s="485">
        <f t="shared" si="6"/>
        <v>42660.644444444442</v>
      </c>
      <c r="F40" s="486">
        <f t="shared" si="7"/>
        <v>984799.91111111105</v>
      </c>
      <c r="G40" s="487">
        <f t="shared" si="8"/>
        <v>178825.6922194346</v>
      </c>
      <c r="H40" s="456">
        <f t="shared" si="9"/>
        <v>178825.6922194346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2041</v>
      </c>
      <c r="D41" s="484">
        <f>IF(F40+SUM(E$17:E40)=D$10,F40,D$10-SUM(E$17:E40))</f>
        <v>984799.91111111105</v>
      </c>
      <c r="E41" s="485">
        <f t="shared" si="6"/>
        <v>42660.644444444442</v>
      </c>
      <c r="F41" s="486">
        <f t="shared" si="7"/>
        <v>942139.2666666666</v>
      </c>
      <c r="G41" s="487">
        <f t="shared" si="8"/>
        <v>173052.19640702402</v>
      </c>
      <c r="H41" s="456">
        <f t="shared" si="9"/>
        <v>173052.19640702402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2042</v>
      </c>
      <c r="D42" s="484">
        <f>IF(F41+SUM(E$17:E41)=D$10,F41,D$10-SUM(E$17:E41))</f>
        <v>942139.2666666666</v>
      </c>
      <c r="E42" s="485">
        <f t="shared" si="6"/>
        <v>42660.644444444442</v>
      </c>
      <c r="F42" s="486">
        <f t="shared" si="7"/>
        <v>899478.62222222215</v>
      </c>
      <c r="G42" s="487">
        <f t="shared" si="8"/>
        <v>167278.70059461347</v>
      </c>
      <c r="H42" s="456">
        <f t="shared" si="9"/>
        <v>167278.70059461347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2043</v>
      </c>
      <c r="D43" s="484">
        <f>IF(F42+SUM(E$17:E42)=D$10,F42,D$10-SUM(E$17:E42))</f>
        <v>899478.62222222215</v>
      </c>
      <c r="E43" s="485">
        <f t="shared" si="6"/>
        <v>42660.644444444442</v>
      </c>
      <c r="F43" s="486">
        <f t="shared" si="7"/>
        <v>856817.97777777771</v>
      </c>
      <c r="G43" s="487">
        <f t="shared" si="8"/>
        <v>161505.20478220293</v>
      </c>
      <c r="H43" s="456">
        <f t="shared" si="9"/>
        <v>161505.20478220293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2044</v>
      </c>
      <c r="D44" s="484">
        <f>IF(F43+SUM(E$17:E43)=D$10,F43,D$10-SUM(E$17:E43))</f>
        <v>856817.97777777771</v>
      </c>
      <c r="E44" s="485">
        <f t="shared" si="6"/>
        <v>42660.644444444442</v>
      </c>
      <c r="F44" s="486">
        <f t="shared" si="7"/>
        <v>814157.33333333326</v>
      </c>
      <c r="G44" s="487">
        <f t="shared" si="8"/>
        <v>155731.70896979238</v>
      </c>
      <c r="H44" s="456">
        <f t="shared" si="9"/>
        <v>155731.70896979238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2045</v>
      </c>
      <c r="D45" s="484">
        <f>IF(F44+SUM(E$17:E44)=D$10,F44,D$10-SUM(E$17:E44))</f>
        <v>814157.33333333326</v>
      </c>
      <c r="E45" s="485">
        <f t="shared" si="6"/>
        <v>42660.644444444442</v>
      </c>
      <c r="F45" s="486">
        <f t="shared" si="7"/>
        <v>771496.68888888881</v>
      </c>
      <c r="G45" s="487">
        <f t="shared" si="8"/>
        <v>149958.21315738183</v>
      </c>
      <c r="H45" s="456">
        <f t="shared" si="9"/>
        <v>149958.21315738183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2046</v>
      </c>
      <c r="D46" s="484">
        <f>IF(F45+SUM(E$17:E45)=D$10,F45,D$10-SUM(E$17:E45))</f>
        <v>771496.68888888881</v>
      </c>
      <c r="E46" s="485">
        <f t="shared" si="6"/>
        <v>42660.644444444442</v>
      </c>
      <c r="F46" s="486">
        <f t="shared" si="7"/>
        <v>728836.04444444436</v>
      </c>
      <c r="G46" s="487">
        <f t="shared" si="8"/>
        <v>144184.71734497129</v>
      </c>
      <c r="H46" s="456">
        <f t="shared" si="9"/>
        <v>144184.71734497129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2047</v>
      </c>
      <c r="D47" s="484">
        <f>IF(F46+SUM(E$17:E46)=D$10,F46,D$10-SUM(E$17:E46))</f>
        <v>728836.04444444436</v>
      </c>
      <c r="E47" s="485">
        <f t="shared" si="6"/>
        <v>42660.644444444442</v>
      </c>
      <c r="F47" s="486">
        <f t="shared" si="7"/>
        <v>686175.39999999991</v>
      </c>
      <c r="G47" s="487">
        <f t="shared" si="8"/>
        <v>138411.22153256074</v>
      </c>
      <c r="H47" s="456">
        <f t="shared" si="9"/>
        <v>138411.22153256074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2048</v>
      </c>
      <c r="D48" s="484">
        <f>IF(F47+SUM(E$17:E47)=D$10,F47,D$10-SUM(E$17:E47))</f>
        <v>686175.39999999991</v>
      </c>
      <c r="E48" s="485">
        <f t="shared" si="6"/>
        <v>42660.644444444442</v>
      </c>
      <c r="F48" s="486">
        <f t="shared" si="7"/>
        <v>643514.75555555546</v>
      </c>
      <c r="G48" s="487">
        <f t="shared" si="8"/>
        <v>132637.72572015019</v>
      </c>
      <c r="H48" s="456">
        <f t="shared" si="9"/>
        <v>132637.72572015019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2049</v>
      </c>
      <c r="D49" s="484">
        <f>IF(F48+SUM(E$17:E48)=D$10,F48,D$10-SUM(E$17:E48))</f>
        <v>643514.75555555546</v>
      </c>
      <c r="E49" s="485">
        <f t="shared" si="6"/>
        <v>42660.644444444442</v>
      </c>
      <c r="F49" s="486">
        <f t="shared" si="7"/>
        <v>600854.11111111101</v>
      </c>
      <c r="G49" s="487">
        <f t="shared" si="8"/>
        <v>126864.22990773965</v>
      </c>
      <c r="H49" s="456">
        <f t="shared" si="9"/>
        <v>126864.22990773965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2050</v>
      </c>
      <c r="D50" s="484">
        <f>IF(F49+SUM(E$17:E49)=D$10,F49,D$10-SUM(E$17:E49))</f>
        <v>600854.11111111101</v>
      </c>
      <c r="E50" s="485">
        <f t="shared" si="6"/>
        <v>42660.644444444442</v>
      </c>
      <c r="F50" s="486">
        <f t="shared" si="7"/>
        <v>558193.46666666656</v>
      </c>
      <c r="G50" s="487">
        <f t="shared" si="8"/>
        <v>121090.7340953291</v>
      </c>
      <c r="H50" s="456">
        <f t="shared" si="9"/>
        <v>121090.7340953291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2051</v>
      </c>
      <c r="D51" s="484">
        <f>IF(F50+SUM(E$17:E50)=D$10,F50,D$10-SUM(E$17:E50))</f>
        <v>558193.46666666656</v>
      </c>
      <c r="E51" s="485">
        <f t="shared" si="6"/>
        <v>42660.644444444442</v>
      </c>
      <c r="F51" s="486">
        <f t="shared" si="7"/>
        <v>515532.82222222211</v>
      </c>
      <c r="G51" s="487">
        <f t="shared" si="8"/>
        <v>115317.23828291855</v>
      </c>
      <c r="H51" s="456">
        <f t="shared" si="9"/>
        <v>115317.23828291855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2052</v>
      </c>
      <c r="D52" s="484">
        <f>IF(F51+SUM(E$17:E51)=D$10,F51,D$10-SUM(E$17:E51))</f>
        <v>515532.82222222211</v>
      </c>
      <c r="E52" s="485">
        <f t="shared" si="6"/>
        <v>42660.644444444442</v>
      </c>
      <c r="F52" s="486">
        <f t="shared" si="7"/>
        <v>472872.17777777766</v>
      </c>
      <c r="G52" s="487">
        <f t="shared" si="8"/>
        <v>109543.742470508</v>
      </c>
      <c r="H52" s="456">
        <f t="shared" si="9"/>
        <v>109543.742470508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2053</v>
      </c>
      <c r="D53" s="484">
        <f>IF(F52+SUM(E$17:E52)=D$10,F52,D$10-SUM(E$17:E52))</f>
        <v>472872.17777777766</v>
      </c>
      <c r="E53" s="485">
        <f t="shared" si="6"/>
        <v>42660.644444444442</v>
      </c>
      <c r="F53" s="486">
        <f t="shared" si="7"/>
        <v>430211.53333333321</v>
      </c>
      <c r="G53" s="487">
        <f t="shared" si="8"/>
        <v>103770.24665809747</v>
      </c>
      <c r="H53" s="456">
        <f t="shared" si="9"/>
        <v>103770.24665809747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2054</v>
      </c>
      <c r="D54" s="484">
        <f>IF(F53+SUM(E$17:E53)=D$10,F53,D$10-SUM(E$17:E53))</f>
        <v>430211.53333333321</v>
      </c>
      <c r="E54" s="485">
        <f t="shared" si="6"/>
        <v>42660.644444444442</v>
      </c>
      <c r="F54" s="486">
        <f t="shared" si="7"/>
        <v>387550.88888888876</v>
      </c>
      <c r="G54" s="487">
        <f t="shared" si="8"/>
        <v>97996.750845686925</v>
      </c>
      <c r="H54" s="456">
        <f t="shared" si="9"/>
        <v>97996.750845686925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2055</v>
      </c>
      <c r="D55" s="484">
        <f>IF(F54+SUM(E$17:E54)=D$10,F54,D$10-SUM(E$17:E54))</f>
        <v>387550.88888888876</v>
      </c>
      <c r="E55" s="485">
        <f t="shared" si="6"/>
        <v>42660.644444444442</v>
      </c>
      <c r="F55" s="486">
        <f t="shared" si="7"/>
        <v>344890.24444444431</v>
      </c>
      <c r="G55" s="487">
        <f t="shared" si="8"/>
        <v>92223.255033276379</v>
      </c>
      <c r="H55" s="456">
        <f t="shared" si="9"/>
        <v>92223.255033276379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2056</v>
      </c>
      <c r="D56" s="484">
        <f>IF(F55+SUM(E$17:E55)=D$10,F55,D$10-SUM(E$17:E55))</f>
        <v>344890.24444444431</v>
      </c>
      <c r="E56" s="485">
        <f t="shared" si="6"/>
        <v>42660.644444444442</v>
      </c>
      <c r="F56" s="486">
        <f t="shared" si="7"/>
        <v>302229.59999999986</v>
      </c>
      <c r="G56" s="487">
        <f t="shared" si="8"/>
        <v>86449.759220865832</v>
      </c>
      <c r="H56" s="456">
        <f t="shared" si="9"/>
        <v>86449.759220865832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2057</v>
      </c>
      <c r="D57" s="484">
        <f>IF(F56+SUM(E$17:E56)=D$10,F56,D$10-SUM(E$17:E56))</f>
        <v>302229.59999999986</v>
      </c>
      <c r="E57" s="485">
        <f t="shared" si="6"/>
        <v>42660.644444444442</v>
      </c>
      <c r="F57" s="486">
        <f t="shared" si="7"/>
        <v>259568.95555555541</v>
      </c>
      <c r="G57" s="487">
        <f t="shared" si="8"/>
        <v>80676.263408455285</v>
      </c>
      <c r="H57" s="456">
        <f t="shared" si="9"/>
        <v>80676.263408455285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2058</v>
      </c>
      <c r="D58" s="484">
        <f>IF(F57+SUM(E$17:E57)=D$10,F57,D$10-SUM(E$17:E57))</f>
        <v>259568.95555555541</v>
      </c>
      <c r="E58" s="485">
        <f t="shared" si="6"/>
        <v>42660.644444444442</v>
      </c>
      <c r="F58" s="486">
        <f t="shared" si="7"/>
        <v>216908.31111111096</v>
      </c>
      <c r="G58" s="487">
        <f t="shared" si="8"/>
        <v>74902.767596044738</v>
      </c>
      <c r="H58" s="456">
        <f t="shared" si="9"/>
        <v>74902.767596044738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2059</v>
      </c>
      <c r="D59" s="484">
        <f>IF(F58+SUM(E$17:E58)=D$10,F58,D$10-SUM(E$17:E58))</f>
        <v>216908.31111111096</v>
      </c>
      <c r="E59" s="485">
        <f t="shared" si="6"/>
        <v>42660.644444444442</v>
      </c>
      <c r="F59" s="486">
        <f t="shared" si="7"/>
        <v>174247.66666666651</v>
      </c>
      <c r="G59" s="487">
        <f t="shared" si="8"/>
        <v>69129.271783634191</v>
      </c>
      <c r="H59" s="456">
        <f t="shared" si="9"/>
        <v>69129.271783634191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2060</v>
      </c>
      <c r="D60" s="484">
        <f>IF(F59+SUM(E$17:E59)=D$10,F59,D$10-SUM(E$17:E59))</f>
        <v>174247.66666666651</v>
      </c>
      <c r="E60" s="485">
        <f t="shared" si="6"/>
        <v>42660.644444444442</v>
      </c>
      <c r="F60" s="486">
        <f t="shared" si="7"/>
        <v>131587.02222222206</v>
      </c>
      <c r="G60" s="487">
        <f t="shared" si="8"/>
        <v>63355.775971223644</v>
      </c>
      <c r="H60" s="456">
        <f t="shared" si="9"/>
        <v>63355.775971223644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2061</v>
      </c>
      <c r="D61" s="484">
        <f>IF(F60+SUM(E$17:E60)=D$10,F60,D$10-SUM(E$17:E60))</f>
        <v>131587.02222222206</v>
      </c>
      <c r="E61" s="485">
        <f t="shared" si="6"/>
        <v>42660.644444444442</v>
      </c>
      <c r="F61" s="486">
        <f t="shared" si="7"/>
        <v>88926.377777777612</v>
      </c>
      <c r="G61" s="487">
        <f t="shared" si="8"/>
        <v>57582.280158813097</v>
      </c>
      <c r="H61" s="456">
        <f t="shared" si="9"/>
        <v>57582.280158813097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2062</v>
      </c>
      <c r="D62" s="484">
        <f>IF(F61+SUM(E$17:E61)=D$10,F61,D$10-SUM(E$17:E61))</f>
        <v>88926.377777777612</v>
      </c>
      <c r="E62" s="485">
        <f t="shared" si="6"/>
        <v>42660.644444444442</v>
      </c>
      <c r="F62" s="486">
        <f t="shared" si="7"/>
        <v>46265.73333333317</v>
      </c>
      <c r="G62" s="487">
        <f t="shared" si="8"/>
        <v>51808.78434640255</v>
      </c>
      <c r="H62" s="456">
        <f t="shared" si="9"/>
        <v>51808.78434640255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2063</v>
      </c>
      <c r="D63" s="484">
        <f>IF(F62+SUM(E$17:E62)=D$10,F62,D$10-SUM(E$17:E62))</f>
        <v>46265.73333333317</v>
      </c>
      <c r="E63" s="485">
        <f t="shared" si="6"/>
        <v>42660.644444444442</v>
      </c>
      <c r="F63" s="486">
        <f t="shared" si="7"/>
        <v>3605.0888888887275</v>
      </c>
      <c r="G63" s="487">
        <f t="shared" si="8"/>
        <v>46035.288533992003</v>
      </c>
      <c r="H63" s="456">
        <f t="shared" si="9"/>
        <v>46035.288533992003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2064</v>
      </c>
      <c r="D64" s="484">
        <f>IF(F63+SUM(E$17:E63)=D$10,F63,D$10-SUM(E$17:E63))</f>
        <v>3605.0888888887275</v>
      </c>
      <c r="E64" s="485">
        <f t="shared" si="6"/>
        <v>3605.0888888887275</v>
      </c>
      <c r="F64" s="486">
        <f t="shared" si="7"/>
        <v>0</v>
      </c>
      <c r="G64" s="487">
        <f t="shared" si="8"/>
        <v>3849.0369805598721</v>
      </c>
      <c r="H64" s="456">
        <f t="shared" si="9"/>
        <v>3849.0369805598721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2065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2066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2067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2068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2069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2070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2071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2072</v>
      </c>
      <c r="D72" s="613">
        <f>IF(F71+SUM(E$17:E71)=D$10,F71,D$10-SUM(E$17:E71))</f>
        <v>0</v>
      </c>
      <c r="E72" s="492">
        <f t="shared" si="6"/>
        <v>0</v>
      </c>
      <c r="F72" s="491">
        <f t="shared" si="7"/>
        <v>0</v>
      </c>
      <c r="G72" s="545">
        <f t="shared" si="8"/>
        <v>0</v>
      </c>
      <c r="H72" s="436">
        <f t="shared" si="9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1919729</v>
      </c>
      <c r="F73" s="348"/>
      <c r="G73" s="348">
        <f>SUM(G17:G72)</f>
        <v>7753698.7776839798</v>
      </c>
      <c r="H73" s="348">
        <f>SUM(H17:H72)</f>
        <v>7753698.7776839798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20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153018.85490841107</v>
      </c>
      <c r="N87" s="509">
        <f>IF(J92&lt;D11,0,VLOOKUP(J92,C17:O72,11))</f>
        <v>153018.85490841107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247598.16362509641</v>
      </c>
      <c r="N88" s="513">
        <f>IF(J92&lt;D11,0,VLOOKUP(J92,C99:P154,7))</f>
        <v>247598.16362509641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Sayre 138 kV Capacitor Bank Addition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94579.308716685337</v>
      </c>
      <c r="N89" s="518">
        <f>+N88-N87</f>
        <v>94579.308716685337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TP2015202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1961221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47835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0</v>
      </c>
      <c r="F99" s="585">
        <v>1140000</v>
      </c>
      <c r="G99" s="609">
        <v>570000</v>
      </c>
      <c r="H99" s="588">
        <v>72305.937255510624</v>
      </c>
      <c r="I99" s="608">
        <v>72305.937255510624</v>
      </c>
      <c r="J99" s="479">
        <f t="shared" ref="J99:J130" si="10">+I99-H99</f>
        <v>0</v>
      </c>
      <c r="K99" s="479"/>
      <c r="L99" s="478">
        <f>+H99</f>
        <v>72305.937255510624</v>
      </c>
      <c r="M99" s="478">
        <f t="shared" ref="M99:M130" si="11">IF(L99&lt;&gt;0,+H99-L99,0)</f>
        <v>0</v>
      </c>
      <c r="N99" s="478">
        <f>+I99</f>
        <v>72305.937255510624</v>
      </c>
      <c r="O99" s="478">
        <f t="shared" ref="O99:O130" si="12">IF(N99&lt;&gt;0,+I99-N99,0)</f>
        <v>0</v>
      </c>
      <c r="P99" s="478">
        <f t="shared" ref="P99:P130" si="13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347">
        <f>IF(F99+SUM(E$99:E99)=D$92,F99,D$92-SUM(E$99:E99))</f>
        <v>1961221</v>
      </c>
      <c r="E100" s="485">
        <f t="shared" ref="E100" si="14">IF(+J$96&lt;F99,J$96,D100)</f>
        <v>47835</v>
      </c>
      <c r="F100" s="486">
        <f t="shared" ref="F100" si="15">+D100-E100</f>
        <v>1913386</v>
      </c>
      <c r="G100" s="486">
        <f t="shared" ref="G100" si="16">+(F100+D100)/2</f>
        <v>1937303.5</v>
      </c>
      <c r="H100" s="614">
        <f t="shared" ref="H100" si="17">+J$94*G100+E100</f>
        <v>247598.16362509641</v>
      </c>
      <c r="I100" s="615">
        <f t="shared" ref="I100" si="18">+J$95*G100+E100</f>
        <v>247598.16362509641</v>
      </c>
      <c r="J100" s="479">
        <f t="shared" si="10"/>
        <v>0</v>
      </c>
      <c r="K100" s="479"/>
      <c r="L100" s="477">
        <f>H100</f>
        <v>247598.16362509641</v>
      </c>
      <c r="M100" s="349">
        <f>IF(L100&lt;&gt;0,+H100-L100,0)</f>
        <v>0</v>
      </c>
      <c r="N100" s="477">
        <f>I100</f>
        <v>247598.16362509641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9">IF(D101=F100,"","IU")</f>
        <v/>
      </c>
      <c r="C101" s="473">
        <f>IF(D93="","-",+C100+1)</f>
        <v>2020</v>
      </c>
      <c r="D101" s="347">
        <f>IF(F100+SUM(E$99:E100)=D$92,F100,D$92-SUM(E$99:E100))</f>
        <v>1913386</v>
      </c>
      <c r="E101" s="485">
        <f t="shared" ref="E101:E154" si="20">IF(+J$96&lt;F100,J$96,D101)</f>
        <v>47835</v>
      </c>
      <c r="F101" s="486">
        <f t="shared" ref="F101:F154" si="21">+D101-E101</f>
        <v>1865551</v>
      </c>
      <c r="G101" s="486">
        <f t="shared" ref="G101:G154" si="22">+(F101+D101)/2</f>
        <v>1889468.5</v>
      </c>
      <c r="H101" s="614">
        <f t="shared" ref="H101:H154" si="23">+J$94*G101+E101</f>
        <v>242665.70418752945</v>
      </c>
      <c r="I101" s="615">
        <f t="shared" ref="I101:I154" si="24">+J$95*G101+E101</f>
        <v>242665.70418752945</v>
      </c>
      <c r="J101" s="479">
        <f t="shared" si="10"/>
        <v>0</v>
      </c>
      <c r="K101" s="479"/>
      <c r="L101" s="488"/>
      <c r="M101" s="479">
        <f t="shared" si="11"/>
        <v>0</v>
      </c>
      <c r="N101" s="488"/>
      <c r="O101" s="479">
        <f t="shared" si="12"/>
        <v>0</v>
      </c>
      <c r="P101" s="479">
        <f t="shared" si="13"/>
        <v>0</v>
      </c>
    </row>
    <row r="102" spans="1:16" ht="12.5">
      <c r="B102" s="160" t="str">
        <f t="shared" si="19"/>
        <v/>
      </c>
      <c r="C102" s="473">
        <f>IF(D93="","-",+C101+1)</f>
        <v>2021</v>
      </c>
      <c r="D102" s="347">
        <f>IF(F101+SUM(E$99:E101)=D$92,F101,D$92-SUM(E$99:E101))</f>
        <v>1865551</v>
      </c>
      <c r="E102" s="485">
        <f t="shared" si="20"/>
        <v>47835</v>
      </c>
      <c r="F102" s="486">
        <f t="shared" si="21"/>
        <v>1817716</v>
      </c>
      <c r="G102" s="486">
        <f t="shared" si="22"/>
        <v>1841633.5</v>
      </c>
      <c r="H102" s="614">
        <f t="shared" si="23"/>
        <v>237733.2447499625</v>
      </c>
      <c r="I102" s="615">
        <f t="shared" si="24"/>
        <v>237733.2447499625</v>
      </c>
      <c r="J102" s="479">
        <f t="shared" si="10"/>
        <v>0</v>
      </c>
      <c r="K102" s="479"/>
      <c r="L102" s="488"/>
      <c r="M102" s="479">
        <f t="shared" si="11"/>
        <v>0</v>
      </c>
      <c r="N102" s="488"/>
      <c r="O102" s="479">
        <f t="shared" si="12"/>
        <v>0</v>
      </c>
      <c r="P102" s="479">
        <f t="shared" si="13"/>
        <v>0</v>
      </c>
    </row>
    <row r="103" spans="1:16" ht="12.5">
      <c r="B103" s="160" t="str">
        <f t="shared" si="19"/>
        <v/>
      </c>
      <c r="C103" s="473">
        <f>IF(D93="","-",+C102+1)</f>
        <v>2022</v>
      </c>
      <c r="D103" s="347">
        <f>IF(F102+SUM(E$99:E102)=D$92,F102,D$92-SUM(E$99:E102))</f>
        <v>1817716</v>
      </c>
      <c r="E103" s="485">
        <f t="shared" si="20"/>
        <v>47835</v>
      </c>
      <c r="F103" s="486">
        <f t="shared" si="21"/>
        <v>1769881</v>
      </c>
      <c r="G103" s="486">
        <f t="shared" si="22"/>
        <v>1793798.5</v>
      </c>
      <c r="H103" s="614">
        <f t="shared" si="23"/>
        <v>232800.78531239554</v>
      </c>
      <c r="I103" s="615">
        <f t="shared" si="24"/>
        <v>232800.78531239554</v>
      </c>
      <c r="J103" s="479">
        <f t="shared" si="10"/>
        <v>0</v>
      </c>
      <c r="K103" s="479"/>
      <c r="L103" s="488"/>
      <c r="M103" s="479">
        <f t="shared" si="11"/>
        <v>0</v>
      </c>
      <c r="N103" s="488"/>
      <c r="O103" s="479">
        <f t="shared" si="12"/>
        <v>0</v>
      </c>
      <c r="P103" s="479">
        <f t="shared" si="13"/>
        <v>0</v>
      </c>
    </row>
    <row r="104" spans="1:16" ht="12.5">
      <c r="B104" s="160" t="str">
        <f t="shared" si="19"/>
        <v/>
      </c>
      <c r="C104" s="473">
        <f>IF(D93="","-",+C103+1)</f>
        <v>2023</v>
      </c>
      <c r="D104" s="347">
        <f>IF(F103+SUM(E$99:E103)=D$92,F103,D$92-SUM(E$99:E103))</f>
        <v>1769881</v>
      </c>
      <c r="E104" s="485">
        <f t="shared" si="20"/>
        <v>47835</v>
      </c>
      <c r="F104" s="486">
        <f t="shared" si="21"/>
        <v>1722046</v>
      </c>
      <c r="G104" s="486">
        <f t="shared" si="22"/>
        <v>1745963.5</v>
      </c>
      <c r="H104" s="614">
        <f t="shared" si="23"/>
        <v>227868.32587482859</v>
      </c>
      <c r="I104" s="615">
        <f t="shared" si="24"/>
        <v>227868.32587482859</v>
      </c>
      <c r="J104" s="479">
        <f t="shared" si="10"/>
        <v>0</v>
      </c>
      <c r="K104" s="479"/>
      <c r="L104" s="488"/>
      <c r="M104" s="479">
        <f t="shared" si="11"/>
        <v>0</v>
      </c>
      <c r="N104" s="488"/>
      <c r="O104" s="479">
        <f t="shared" si="12"/>
        <v>0</v>
      </c>
      <c r="P104" s="479">
        <f t="shared" si="13"/>
        <v>0</v>
      </c>
    </row>
    <row r="105" spans="1:16" ht="12.5">
      <c r="B105" s="160" t="str">
        <f t="shared" si="19"/>
        <v/>
      </c>
      <c r="C105" s="473">
        <f>IF(D93="","-",+C104+1)</f>
        <v>2024</v>
      </c>
      <c r="D105" s="347">
        <f>IF(F104+SUM(E$99:E104)=D$92,F104,D$92-SUM(E$99:E104))</f>
        <v>1722046</v>
      </c>
      <c r="E105" s="485">
        <f t="shared" si="20"/>
        <v>47835</v>
      </c>
      <c r="F105" s="486">
        <f t="shared" si="21"/>
        <v>1674211</v>
      </c>
      <c r="G105" s="486">
        <f t="shared" si="22"/>
        <v>1698128.5</v>
      </c>
      <c r="H105" s="614">
        <f t="shared" si="23"/>
        <v>222935.86643726163</v>
      </c>
      <c r="I105" s="615">
        <f t="shared" si="24"/>
        <v>222935.86643726163</v>
      </c>
      <c r="J105" s="479">
        <f t="shared" si="10"/>
        <v>0</v>
      </c>
      <c r="K105" s="479"/>
      <c r="L105" s="488"/>
      <c r="M105" s="479">
        <f t="shared" si="11"/>
        <v>0</v>
      </c>
      <c r="N105" s="488"/>
      <c r="O105" s="479">
        <f t="shared" si="12"/>
        <v>0</v>
      </c>
      <c r="P105" s="479">
        <f t="shared" si="13"/>
        <v>0</v>
      </c>
    </row>
    <row r="106" spans="1:16" ht="12.5">
      <c r="B106" s="160" t="str">
        <f t="shared" si="19"/>
        <v/>
      </c>
      <c r="C106" s="473">
        <f>IF(D93="","-",+C105+1)</f>
        <v>2025</v>
      </c>
      <c r="D106" s="347">
        <f>IF(F105+SUM(E$99:E105)=D$92,F105,D$92-SUM(E$99:E105))</f>
        <v>1674211</v>
      </c>
      <c r="E106" s="485">
        <f t="shared" si="20"/>
        <v>47835</v>
      </c>
      <c r="F106" s="486">
        <f t="shared" si="21"/>
        <v>1626376</v>
      </c>
      <c r="G106" s="486">
        <f t="shared" si="22"/>
        <v>1650293.5</v>
      </c>
      <c r="H106" s="614">
        <f t="shared" si="23"/>
        <v>218003.40699969468</v>
      </c>
      <c r="I106" s="615">
        <f t="shared" si="24"/>
        <v>218003.40699969468</v>
      </c>
      <c r="J106" s="479">
        <f t="shared" si="10"/>
        <v>0</v>
      </c>
      <c r="K106" s="479"/>
      <c r="L106" s="488"/>
      <c r="M106" s="479">
        <f t="shared" si="11"/>
        <v>0</v>
      </c>
      <c r="N106" s="488"/>
      <c r="O106" s="479">
        <f t="shared" si="12"/>
        <v>0</v>
      </c>
      <c r="P106" s="479">
        <f t="shared" si="13"/>
        <v>0</v>
      </c>
    </row>
    <row r="107" spans="1:16" ht="12.5">
      <c r="B107" s="160" t="str">
        <f t="shared" si="19"/>
        <v/>
      </c>
      <c r="C107" s="473">
        <f>IF(D93="","-",+C106+1)</f>
        <v>2026</v>
      </c>
      <c r="D107" s="347">
        <f>IF(F106+SUM(E$99:E106)=D$92,F106,D$92-SUM(E$99:E106))</f>
        <v>1626376</v>
      </c>
      <c r="E107" s="485">
        <f t="shared" si="20"/>
        <v>47835</v>
      </c>
      <c r="F107" s="486">
        <f t="shared" si="21"/>
        <v>1578541</v>
      </c>
      <c r="G107" s="486">
        <f t="shared" si="22"/>
        <v>1602458.5</v>
      </c>
      <c r="H107" s="614">
        <f t="shared" si="23"/>
        <v>213070.94756212775</v>
      </c>
      <c r="I107" s="615">
        <f t="shared" si="24"/>
        <v>213070.94756212775</v>
      </c>
      <c r="J107" s="479">
        <f t="shared" si="10"/>
        <v>0</v>
      </c>
      <c r="K107" s="479"/>
      <c r="L107" s="488"/>
      <c r="M107" s="479">
        <f t="shared" si="11"/>
        <v>0</v>
      </c>
      <c r="N107" s="488"/>
      <c r="O107" s="479">
        <f t="shared" si="12"/>
        <v>0</v>
      </c>
      <c r="P107" s="479">
        <f t="shared" si="13"/>
        <v>0</v>
      </c>
    </row>
    <row r="108" spans="1:16" ht="12.5">
      <c r="B108" s="160" t="str">
        <f t="shared" si="19"/>
        <v/>
      </c>
      <c r="C108" s="473">
        <f>IF(D93="","-",+C107+1)</f>
        <v>2027</v>
      </c>
      <c r="D108" s="347">
        <f>IF(F107+SUM(E$99:E107)=D$92,F107,D$92-SUM(E$99:E107))</f>
        <v>1578541</v>
      </c>
      <c r="E108" s="485">
        <f t="shared" si="20"/>
        <v>47835</v>
      </c>
      <c r="F108" s="486">
        <f t="shared" si="21"/>
        <v>1530706</v>
      </c>
      <c r="G108" s="486">
        <f t="shared" si="22"/>
        <v>1554623.5</v>
      </c>
      <c r="H108" s="614">
        <f t="shared" si="23"/>
        <v>208138.4881245608</v>
      </c>
      <c r="I108" s="615">
        <f t="shared" si="24"/>
        <v>208138.4881245608</v>
      </c>
      <c r="J108" s="479">
        <f t="shared" si="10"/>
        <v>0</v>
      </c>
      <c r="K108" s="479"/>
      <c r="L108" s="488"/>
      <c r="M108" s="479">
        <f t="shared" si="11"/>
        <v>0</v>
      </c>
      <c r="N108" s="488"/>
      <c r="O108" s="479">
        <f t="shared" si="12"/>
        <v>0</v>
      </c>
      <c r="P108" s="479">
        <f t="shared" si="13"/>
        <v>0</v>
      </c>
    </row>
    <row r="109" spans="1:16" ht="12.5">
      <c r="B109" s="160" t="str">
        <f t="shared" si="19"/>
        <v/>
      </c>
      <c r="C109" s="473">
        <f>IF(D93="","-",+C108+1)</f>
        <v>2028</v>
      </c>
      <c r="D109" s="347">
        <f>IF(F108+SUM(E$99:E108)=D$92,F108,D$92-SUM(E$99:E108))</f>
        <v>1530706</v>
      </c>
      <c r="E109" s="485">
        <f t="shared" si="20"/>
        <v>47835</v>
      </c>
      <c r="F109" s="486">
        <f t="shared" si="21"/>
        <v>1482871</v>
      </c>
      <c r="G109" s="486">
        <f t="shared" si="22"/>
        <v>1506788.5</v>
      </c>
      <c r="H109" s="614">
        <f t="shared" si="23"/>
        <v>203206.02868699384</v>
      </c>
      <c r="I109" s="615">
        <f t="shared" si="24"/>
        <v>203206.02868699384</v>
      </c>
      <c r="J109" s="479">
        <f t="shared" si="10"/>
        <v>0</v>
      </c>
      <c r="K109" s="479"/>
      <c r="L109" s="488"/>
      <c r="M109" s="479">
        <f t="shared" si="11"/>
        <v>0</v>
      </c>
      <c r="N109" s="488"/>
      <c r="O109" s="479">
        <f t="shared" si="12"/>
        <v>0</v>
      </c>
      <c r="P109" s="479">
        <f t="shared" si="13"/>
        <v>0</v>
      </c>
    </row>
    <row r="110" spans="1:16" ht="12.5">
      <c r="B110" s="160" t="str">
        <f t="shared" si="19"/>
        <v/>
      </c>
      <c r="C110" s="473">
        <f>IF(D93="","-",+C109+1)</f>
        <v>2029</v>
      </c>
      <c r="D110" s="347">
        <f>IF(F109+SUM(E$99:E109)=D$92,F109,D$92-SUM(E$99:E109))</f>
        <v>1482871</v>
      </c>
      <c r="E110" s="485">
        <f t="shared" si="20"/>
        <v>47835</v>
      </c>
      <c r="F110" s="486">
        <f t="shared" si="21"/>
        <v>1435036</v>
      </c>
      <c r="G110" s="486">
        <f t="shared" si="22"/>
        <v>1458953.5</v>
      </c>
      <c r="H110" s="614">
        <f t="shared" si="23"/>
        <v>198273.56924942689</v>
      </c>
      <c r="I110" s="615">
        <f t="shared" si="24"/>
        <v>198273.56924942689</v>
      </c>
      <c r="J110" s="479">
        <f t="shared" si="10"/>
        <v>0</v>
      </c>
      <c r="K110" s="479"/>
      <c r="L110" s="488"/>
      <c r="M110" s="479">
        <f t="shared" si="11"/>
        <v>0</v>
      </c>
      <c r="N110" s="488"/>
      <c r="O110" s="479">
        <f t="shared" si="12"/>
        <v>0</v>
      </c>
      <c r="P110" s="479">
        <f t="shared" si="13"/>
        <v>0</v>
      </c>
    </row>
    <row r="111" spans="1:16" ht="12.5">
      <c r="B111" s="160" t="str">
        <f t="shared" si="19"/>
        <v/>
      </c>
      <c r="C111" s="473">
        <f>IF(D93="","-",+C110+1)</f>
        <v>2030</v>
      </c>
      <c r="D111" s="347">
        <f>IF(F110+SUM(E$99:E110)=D$92,F110,D$92-SUM(E$99:E110))</f>
        <v>1435036</v>
      </c>
      <c r="E111" s="485">
        <f t="shared" si="20"/>
        <v>47835</v>
      </c>
      <c r="F111" s="486">
        <f t="shared" si="21"/>
        <v>1387201</v>
      </c>
      <c r="G111" s="486">
        <f t="shared" si="22"/>
        <v>1411118.5</v>
      </c>
      <c r="H111" s="614">
        <f t="shared" si="23"/>
        <v>193341.10981185993</v>
      </c>
      <c r="I111" s="615">
        <f t="shared" si="24"/>
        <v>193341.10981185993</v>
      </c>
      <c r="J111" s="479">
        <f t="shared" si="10"/>
        <v>0</v>
      </c>
      <c r="K111" s="479"/>
      <c r="L111" s="488"/>
      <c r="M111" s="479">
        <f t="shared" si="11"/>
        <v>0</v>
      </c>
      <c r="N111" s="488"/>
      <c r="O111" s="479">
        <f t="shared" si="12"/>
        <v>0</v>
      </c>
      <c r="P111" s="479">
        <f t="shared" si="13"/>
        <v>0</v>
      </c>
    </row>
    <row r="112" spans="1:16" ht="12.5">
      <c r="B112" s="160" t="str">
        <f t="shared" si="19"/>
        <v/>
      </c>
      <c r="C112" s="473">
        <f>IF(D93="","-",+C111+1)</f>
        <v>2031</v>
      </c>
      <c r="D112" s="347">
        <f>IF(F111+SUM(E$99:E111)=D$92,F111,D$92-SUM(E$99:E111))</f>
        <v>1387201</v>
      </c>
      <c r="E112" s="485">
        <f t="shared" si="20"/>
        <v>47835</v>
      </c>
      <c r="F112" s="486">
        <f t="shared" si="21"/>
        <v>1339366</v>
      </c>
      <c r="G112" s="486">
        <f t="shared" si="22"/>
        <v>1363283.5</v>
      </c>
      <c r="H112" s="614">
        <f t="shared" si="23"/>
        <v>188408.65037429298</v>
      </c>
      <c r="I112" s="615">
        <f t="shared" si="24"/>
        <v>188408.65037429298</v>
      </c>
      <c r="J112" s="479">
        <f t="shared" si="10"/>
        <v>0</v>
      </c>
      <c r="K112" s="479"/>
      <c r="L112" s="488"/>
      <c r="M112" s="479">
        <f t="shared" si="11"/>
        <v>0</v>
      </c>
      <c r="N112" s="488"/>
      <c r="O112" s="479">
        <f t="shared" si="12"/>
        <v>0</v>
      </c>
      <c r="P112" s="479">
        <f t="shared" si="13"/>
        <v>0</v>
      </c>
    </row>
    <row r="113" spans="2:16" ht="12.5">
      <c r="B113" s="160" t="str">
        <f t="shared" si="19"/>
        <v/>
      </c>
      <c r="C113" s="473">
        <f>IF(D93="","-",+C112+1)</f>
        <v>2032</v>
      </c>
      <c r="D113" s="347">
        <f>IF(F112+SUM(E$99:E112)=D$92,F112,D$92-SUM(E$99:E112))</f>
        <v>1339366</v>
      </c>
      <c r="E113" s="485">
        <f t="shared" si="20"/>
        <v>47835</v>
      </c>
      <c r="F113" s="486">
        <f t="shared" si="21"/>
        <v>1291531</v>
      </c>
      <c r="G113" s="486">
        <f t="shared" si="22"/>
        <v>1315448.5</v>
      </c>
      <c r="H113" s="614">
        <f t="shared" si="23"/>
        <v>183476.19093672602</v>
      </c>
      <c r="I113" s="615">
        <f t="shared" si="24"/>
        <v>183476.19093672602</v>
      </c>
      <c r="J113" s="479">
        <f t="shared" si="10"/>
        <v>0</v>
      </c>
      <c r="K113" s="479"/>
      <c r="L113" s="488"/>
      <c r="M113" s="479">
        <f t="shared" si="11"/>
        <v>0</v>
      </c>
      <c r="N113" s="488"/>
      <c r="O113" s="479">
        <f t="shared" si="12"/>
        <v>0</v>
      </c>
      <c r="P113" s="479">
        <f t="shared" si="13"/>
        <v>0</v>
      </c>
    </row>
    <row r="114" spans="2:16" ht="12.5">
      <c r="B114" s="160" t="str">
        <f t="shared" si="19"/>
        <v/>
      </c>
      <c r="C114" s="473">
        <f>IF(D93="","-",+C113+1)</f>
        <v>2033</v>
      </c>
      <c r="D114" s="347">
        <f>IF(F113+SUM(E$99:E113)=D$92,F113,D$92-SUM(E$99:E113))</f>
        <v>1291531</v>
      </c>
      <c r="E114" s="485">
        <f t="shared" si="20"/>
        <v>47835</v>
      </c>
      <c r="F114" s="486">
        <f t="shared" si="21"/>
        <v>1243696</v>
      </c>
      <c r="G114" s="486">
        <f t="shared" si="22"/>
        <v>1267613.5</v>
      </c>
      <c r="H114" s="614">
        <f t="shared" si="23"/>
        <v>178543.73149915907</v>
      </c>
      <c r="I114" s="615">
        <f t="shared" si="24"/>
        <v>178543.73149915907</v>
      </c>
      <c r="J114" s="479">
        <f t="shared" si="10"/>
        <v>0</v>
      </c>
      <c r="K114" s="479"/>
      <c r="L114" s="488"/>
      <c r="M114" s="479">
        <f t="shared" si="11"/>
        <v>0</v>
      </c>
      <c r="N114" s="488"/>
      <c r="O114" s="479">
        <f t="shared" si="12"/>
        <v>0</v>
      </c>
      <c r="P114" s="479">
        <f t="shared" si="13"/>
        <v>0</v>
      </c>
    </row>
    <row r="115" spans="2:16" ht="12.5">
      <c r="B115" s="160" t="str">
        <f t="shared" si="19"/>
        <v/>
      </c>
      <c r="C115" s="473">
        <f>IF(D93="","-",+C114+1)</f>
        <v>2034</v>
      </c>
      <c r="D115" s="347">
        <f>IF(F114+SUM(E$99:E114)=D$92,F114,D$92-SUM(E$99:E114))</f>
        <v>1243696</v>
      </c>
      <c r="E115" s="485">
        <f t="shared" si="20"/>
        <v>47835</v>
      </c>
      <c r="F115" s="486">
        <f t="shared" si="21"/>
        <v>1195861</v>
      </c>
      <c r="G115" s="486">
        <f t="shared" si="22"/>
        <v>1219778.5</v>
      </c>
      <c r="H115" s="614">
        <f t="shared" si="23"/>
        <v>173611.27206159214</v>
      </c>
      <c r="I115" s="615">
        <f t="shared" si="24"/>
        <v>173611.27206159214</v>
      </c>
      <c r="J115" s="479">
        <f t="shared" si="10"/>
        <v>0</v>
      </c>
      <c r="K115" s="479"/>
      <c r="L115" s="488"/>
      <c r="M115" s="479">
        <f t="shared" si="11"/>
        <v>0</v>
      </c>
      <c r="N115" s="488"/>
      <c r="O115" s="479">
        <f t="shared" si="12"/>
        <v>0</v>
      </c>
      <c r="P115" s="479">
        <f t="shared" si="13"/>
        <v>0</v>
      </c>
    </row>
    <row r="116" spans="2:16" ht="12.5">
      <c r="B116" s="160" t="str">
        <f t="shared" si="19"/>
        <v/>
      </c>
      <c r="C116" s="473">
        <f>IF(D93="","-",+C115+1)</f>
        <v>2035</v>
      </c>
      <c r="D116" s="347">
        <f>IF(F115+SUM(E$99:E115)=D$92,F115,D$92-SUM(E$99:E115))</f>
        <v>1195861</v>
      </c>
      <c r="E116" s="485">
        <f t="shared" si="20"/>
        <v>47835</v>
      </c>
      <c r="F116" s="486">
        <f t="shared" si="21"/>
        <v>1148026</v>
      </c>
      <c r="G116" s="486">
        <f t="shared" si="22"/>
        <v>1171943.5</v>
      </c>
      <c r="H116" s="614">
        <f t="shared" si="23"/>
        <v>168678.81262402516</v>
      </c>
      <c r="I116" s="615">
        <f t="shared" si="24"/>
        <v>168678.81262402516</v>
      </c>
      <c r="J116" s="479">
        <f t="shared" si="10"/>
        <v>0</v>
      </c>
      <c r="K116" s="479"/>
      <c r="L116" s="488"/>
      <c r="M116" s="479">
        <f t="shared" si="11"/>
        <v>0</v>
      </c>
      <c r="N116" s="488"/>
      <c r="O116" s="479">
        <f t="shared" si="12"/>
        <v>0</v>
      </c>
      <c r="P116" s="479">
        <f t="shared" si="13"/>
        <v>0</v>
      </c>
    </row>
    <row r="117" spans="2:16" ht="12.5">
      <c r="B117" s="160" t="str">
        <f t="shared" si="19"/>
        <v/>
      </c>
      <c r="C117" s="473">
        <f>IF(D93="","-",+C116+1)</f>
        <v>2036</v>
      </c>
      <c r="D117" s="347">
        <f>IF(F116+SUM(E$99:E116)=D$92,F116,D$92-SUM(E$99:E116))</f>
        <v>1148026</v>
      </c>
      <c r="E117" s="485">
        <f t="shared" si="20"/>
        <v>47835</v>
      </c>
      <c r="F117" s="486">
        <f t="shared" si="21"/>
        <v>1100191</v>
      </c>
      <c r="G117" s="486">
        <f t="shared" si="22"/>
        <v>1124108.5</v>
      </c>
      <c r="H117" s="614">
        <f t="shared" si="23"/>
        <v>163746.35318645823</v>
      </c>
      <c r="I117" s="615">
        <f t="shared" si="24"/>
        <v>163746.35318645823</v>
      </c>
      <c r="J117" s="479">
        <f t="shared" si="10"/>
        <v>0</v>
      </c>
      <c r="K117" s="479"/>
      <c r="L117" s="488"/>
      <c r="M117" s="479">
        <f t="shared" si="11"/>
        <v>0</v>
      </c>
      <c r="N117" s="488"/>
      <c r="O117" s="479">
        <f t="shared" si="12"/>
        <v>0</v>
      </c>
      <c r="P117" s="479">
        <f t="shared" si="13"/>
        <v>0</v>
      </c>
    </row>
    <row r="118" spans="2:16" ht="12.5">
      <c r="B118" s="160" t="str">
        <f t="shared" si="19"/>
        <v/>
      </c>
      <c r="C118" s="473">
        <f>IF(D93="","-",+C117+1)</f>
        <v>2037</v>
      </c>
      <c r="D118" s="347">
        <f>IF(F117+SUM(E$99:E117)=D$92,F117,D$92-SUM(E$99:E117))</f>
        <v>1100191</v>
      </c>
      <c r="E118" s="485">
        <f t="shared" si="20"/>
        <v>47835</v>
      </c>
      <c r="F118" s="486">
        <f t="shared" si="21"/>
        <v>1052356</v>
      </c>
      <c r="G118" s="486">
        <f t="shared" si="22"/>
        <v>1076273.5</v>
      </c>
      <c r="H118" s="614">
        <f t="shared" si="23"/>
        <v>158813.89374889128</v>
      </c>
      <c r="I118" s="615">
        <f t="shared" si="24"/>
        <v>158813.89374889128</v>
      </c>
      <c r="J118" s="479">
        <f t="shared" si="10"/>
        <v>0</v>
      </c>
      <c r="K118" s="479"/>
      <c r="L118" s="488"/>
      <c r="M118" s="479">
        <f t="shared" si="11"/>
        <v>0</v>
      </c>
      <c r="N118" s="488"/>
      <c r="O118" s="479">
        <f t="shared" si="12"/>
        <v>0</v>
      </c>
      <c r="P118" s="479">
        <f t="shared" si="13"/>
        <v>0</v>
      </c>
    </row>
    <row r="119" spans="2:16" ht="12.5">
      <c r="B119" s="160" t="str">
        <f t="shared" si="19"/>
        <v/>
      </c>
      <c r="C119" s="473">
        <f>IF(D93="","-",+C118+1)</f>
        <v>2038</v>
      </c>
      <c r="D119" s="347">
        <f>IF(F118+SUM(E$99:E118)=D$92,F118,D$92-SUM(E$99:E118))</f>
        <v>1052356</v>
      </c>
      <c r="E119" s="485">
        <f t="shared" si="20"/>
        <v>47835</v>
      </c>
      <c r="F119" s="486">
        <f t="shared" si="21"/>
        <v>1004521</v>
      </c>
      <c r="G119" s="486">
        <f t="shared" si="22"/>
        <v>1028438.5</v>
      </c>
      <c r="H119" s="614">
        <f t="shared" si="23"/>
        <v>153881.43431132432</v>
      </c>
      <c r="I119" s="615">
        <f t="shared" si="24"/>
        <v>153881.43431132432</v>
      </c>
      <c r="J119" s="479">
        <f t="shared" si="10"/>
        <v>0</v>
      </c>
      <c r="K119" s="479"/>
      <c r="L119" s="488"/>
      <c r="M119" s="479">
        <f t="shared" si="11"/>
        <v>0</v>
      </c>
      <c r="N119" s="488"/>
      <c r="O119" s="479">
        <f t="shared" si="12"/>
        <v>0</v>
      </c>
      <c r="P119" s="479">
        <f t="shared" si="13"/>
        <v>0</v>
      </c>
    </row>
    <row r="120" spans="2:16" ht="12.5">
      <c r="B120" s="160" t="str">
        <f t="shared" si="19"/>
        <v/>
      </c>
      <c r="C120" s="473">
        <f>IF(D93="","-",+C119+1)</f>
        <v>2039</v>
      </c>
      <c r="D120" s="347">
        <f>IF(F119+SUM(E$99:E119)=D$92,F119,D$92-SUM(E$99:E119))</f>
        <v>1004521</v>
      </c>
      <c r="E120" s="485">
        <f t="shared" si="20"/>
        <v>47835</v>
      </c>
      <c r="F120" s="486">
        <f t="shared" si="21"/>
        <v>956686</v>
      </c>
      <c r="G120" s="486">
        <f t="shared" si="22"/>
        <v>980603.5</v>
      </c>
      <c r="H120" s="614">
        <f t="shared" si="23"/>
        <v>148948.97487375737</v>
      </c>
      <c r="I120" s="615">
        <f t="shared" si="24"/>
        <v>148948.97487375737</v>
      </c>
      <c r="J120" s="479">
        <f t="shared" si="10"/>
        <v>0</v>
      </c>
      <c r="K120" s="479"/>
      <c r="L120" s="488"/>
      <c r="M120" s="479">
        <f t="shared" si="11"/>
        <v>0</v>
      </c>
      <c r="N120" s="488"/>
      <c r="O120" s="479">
        <f t="shared" si="12"/>
        <v>0</v>
      </c>
      <c r="P120" s="479">
        <f t="shared" si="13"/>
        <v>0</v>
      </c>
    </row>
    <row r="121" spans="2:16" ht="12.5">
      <c r="B121" s="160" t="str">
        <f t="shared" si="19"/>
        <v/>
      </c>
      <c r="C121" s="473">
        <f>IF(D93="","-",+C120+1)</f>
        <v>2040</v>
      </c>
      <c r="D121" s="347">
        <f>IF(F120+SUM(E$99:E120)=D$92,F120,D$92-SUM(E$99:E120))</f>
        <v>956686</v>
      </c>
      <c r="E121" s="485">
        <f t="shared" si="20"/>
        <v>47835</v>
      </c>
      <c r="F121" s="486">
        <f t="shared" si="21"/>
        <v>908851</v>
      </c>
      <c r="G121" s="486">
        <f t="shared" si="22"/>
        <v>932768.5</v>
      </c>
      <c r="H121" s="614">
        <f t="shared" si="23"/>
        <v>144016.51543619041</v>
      </c>
      <c r="I121" s="615">
        <f t="shared" si="24"/>
        <v>144016.51543619041</v>
      </c>
      <c r="J121" s="479">
        <f t="shared" si="10"/>
        <v>0</v>
      </c>
      <c r="K121" s="479"/>
      <c r="L121" s="488"/>
      <c r="M121" s="479">
        <f t="shared" si="11"/>
        <v>0</v>
      </c>
      <c r="N121" s="488"/>
      <c r="O121" s="479">
        <f t="shared" si="12"/>
        <v>0</v>
      </c>
      <c r="P121" s="479">
        <f t="shared" si="13"/>
        <v>0</v>
      </c>
    </row>
    <row r="122" spans="2:16" ht="12.5">
      <c r="B122" s="160" t="str">
        <f t="shared" si="19"/>
        <v/>
      </c>
      <c r="C122" s="473">
        <f>IF(D93="","-",+C121+1)</f>
        <v>2041</v>
      </c>
      <c r="D122" s="347">
        <f>IF(F121+SUM(E$99:E121)=D$92,F121,D$92-SUM(E$99:E121))</f>
        <v>908851</v>
      </c>
      <c r="E122" s="485">
        <f t="shared" si="20"/>
        <v>47835</v>
      </c>
      <c r="F122" s="486">
        <f t="shared" si="21"/>
        <v>861016</v>
      </c>
      <c r="G122" s="486">
        <f t="shared" si="22"/>
        <v>884933.5</v>
      </c>
      <c r="H122" s="614">
        <f t="shared" si="23"/>
        <v>139084.05599862349</v>
      </c>
      <c r="I122" s="615">
        <f t="shared" si="24"/>
        <v>139084.05599862349</v>
      </c>
      <c r="J122" s="479">
        <f t="shared" si="10"/>
        <v>0</v>
      </c>
      <c r="K122" s="479"/>
      <c r="L122" s="488"/>
      <c r="M122" s="479">
        <f t="shared" si="11"/>
        <v>0</v>
      </c>
      <c r="N122" s="488"/>
      <c r="O122" s="479">
        <f t="shared" si="12"/>
        <v>0</v>
      </c>
      <c r="P122" s="479">
        <f t="shared" si="13"/>
        <v>0</v>
      </c>
    </row>
    <row r="123" spans="2:16" ht="12.5">
      <c r="B123" s="160" t="str">
        <f t="shared" si="19"/>
        <v/>
      </c>
      <c r="C123" s="473">
        <f>IF(D93="","-",+C122+1)</f>
        <v>2042</v>
      </c>
      <c r="D123" s="347">
        <f>IF(F122+SUM(E$99:E122)=D$92,F122,D$92-SUM(E$99:E122))</f>
        <v>861016</v>
      </c>
      <c r="E123" s="485">
        <f t="shared" si="20"/>
        <v>47835</v>
      </c>
      <c r="F123" s="486">
        <f t="shared" si="21"/>
        <v>813181</v>
      </c>
      <c r="G123" s="486">
        <f t="shared" si="22"/>
        <v>837098.5</v>
      </c>
      <c r="H123" s="614">
        <f t="shared" si="23"/>
        <v>134151.5965610565</v>
      </c>
      <c r="I123" s="615">
        <f t="shared" si="24"/>
        <v>134151.5965610565</v>
      </c>
      <c r="J123" s="479">
        <f t="shared" si="10"/>
        <v>0</v>
      </c>
      <c r="K123" s="479"/>
      <c r="L123" s="488"/>
      <c r="M123" s="479">
        <f t="shared" si="11"/>
        <v>0</v>
      </c>
      <c r="N123" s="488"/>
      <c r="O123" s="479">
        <f t="shared" si="12"/>
        <v>0</v>
      </c>
      <c r="P123" s="479">
        <f t="shared" si="13"/>
        <v>0</v>
      </c>
    </row>
    <row r="124" spans="2:16" ht="12.5">
      <c r="B124" s="160" t="str">
        <f t="shared" si="19"/>
        <v/>
      </c>
      <c r="C124" s="473">
        <f>IF(D93="","-",+C123+1)</f>
        <v>2043</v>
      </c>
      <c r="D124" s="347">
        <f>IF(F123+SUM(E$99:E123)=D$92,F123,D$92-SUM(E$99:E123))</f>
        <v>813181</v>
      </c>
      <c r="E124" s="485">
        <f t="shared" si="20"/>
        <v>47835</v>
      </c>
      <c r="F124" s="486">
        <f t="shared" si="21"/>
        <v>765346</v>
      </c>
      <c r="G124" s="486">
        <f t="shared" si="22"/>
        <v>789263.5</v>
      </c>
      <c r="H124" s="614">
        <f t="shared" si="23"/>
        <v>129219.13712348956</v>
      </c>
      <c r="I124" s="615">
        <f t="shared" si="24"/>
        <v>129219.13712348956</v>
      </c>
      <c r="J124" s="479">
        <f t="shared" si="10"/>
        <v>0</v>
      </c>
      <c r="K124" s="479"/>
      <c r="L124" s="488"/>
      <c r="M124" s="479">
        <f t="shared" si="11"/>
        <v>0</v>
      </c>
      <c r="N124" s="488"/>
      <c r="O124" s="479">
        <f t="shared" si="12"/>
        <v>0</v>
      </c>
      <c r="P124" s="479">
        <f t="shared" si="13"/>
        <v>0</v>
      </c>
    </row>
    <row r="125" spans="2:16" ht="12.5">
      <c r="B125" s="160" t="str">
        <f t="shared" si="19"/>
        <v/>
      </c>
      <c r="C125" s="473">
        <f>IF(D93="","-",+C124+1)</f>
        <v>2044</v>
      </c>
      <c r="D125" s="347">
        <f>IF(F124+SUM(E$99:E124)=D$92,F124,D$92-SUM(E$99:E124))</f>
        <v>765346</v>
      </c>
      <c r="E125" s="485">
        <f t="shared" si="20"/>
        <v>47835</v>
      </c>
      <c r="F125" s="486">
        <f t="shared" si="21"/>
        <v>717511</v>
      </c>
      <c r="G125" s="486">
        <f t="shared" si="22"/>
        <v>741428.5</v>
      </c>
      <c r="H125" s="614">
        <f t="shared" si="23"/>
        <v>124286.67768592262</v>
      </c>
      <c r="I125" s="615">
        <f t="shared" si="24"/>
        <v>124286.67768592262</v>
      </c>
      <c r="J125" s="479">
        <f t="shared" si="10"/>
        <v>0</v>
      </c>
      <c r="K125" s="479"/>
      <c r="L125" s="488"/>
      <c r="M125" s="479">
        <f t="shared" si="11"/>
        <v>0</v>
      </c>
      <c r="N125" s="488"/>
      <c r="O125" s="479">
        <f t="shared" si="12"/>
        <v>0</v>
      </c>
      <c r="P125" s="479">
        <f t="shared" si="13"/>
        <v>0</v>
      </c>
    </row>
    <row r="126" spans="2:16" ht="12.5">
      <c r="B126" s="160" t="str">
        <f t="shared" si="19"/>
        <v/>
      </c>
      <c r="C126" s="473">
        <f>IF(D93="","-",+C125+1)</f>
        <v>2045</v>
      </c>
      <c r="D126" s="347">
        <f>IF(F125+SUM(E$99:E125)=D$92,F125,D$92-SUM(E$99:E125))</f>
        <v>717511</v>
      </c>
      <c r="E126" s="485">
        <f t="shared" si="20"/>
        <v>47835</v>
      </c>
      <c r="F126" s="486">
        <f t="shared" si="21"/>
        <v>669676</v>
      </c>
      <c r="G126" s="486">
        <f t="shared" si="22"/>
        <v>693593.5</v>
      </c>
      <c r="H126" s="614">
        <f t="shared" si="23"/>
        <v>119354.21824835567</v>
      </c>
      <c r="I126" s="615">
        <f t="shared" si="24"/>
        <v>119354.21824835567</v>
      </c>
      <c r="J126" s="479">
        <f t="shared" si="10"/>
        <v>0</v>
      </c>
      <c r="K126" s="479"/>
      <c r="L126" s="488"/>
      <c r="M126" s="479">
        <f t="shared" si="11"/>
        <v>0</v>
      </c>
      <c r="N126" s="488"/>
      <c r="O126" s="479">
        <f t="shared" si="12"/>
        <v>0</v>
      </c>
      <c r="P126" s="479">
        <f t="shared" si="13"/>
        <v>0</v>
      </c>
    </row>
    <row r="127" spans="2:16" ht="12.5">
      <c r="B127" s="160" t="str">
        <f t="shared" si="19"/>
        <v/>
      </c>
      <c r="C127" s="473">
        <f>IF(D93="","-",+C126+1)</f>
        <v>2046</v>
      </c>
      <c r="D127" s="347">
        <f>IF(F126+SUM(E$99:E126)=D$92,F126,D$92-SUM(E$99:E126))</f>
        <v>669676</v>
      </c>
      <c r="E127" s="485">
        <f t="shared" si="20"/>
        <v>47835</v>
      </c>
      <c r="F127" s="486">
        <f t="shared" si="21"/>
        <v>621841</v>
      </c>
      <c r="G127" s="486">
        <f t="shared" si="22"/>
        <v>645758.5</v>
      </c>
      <c r="H127" s="614">
        <f t="shared" si="23"/>
        <v>114421.75881078871</v>
      </c>
      <c r="I127" s="615">
        <f t="shared" si="24"/>
        <v>114421.75881078871</v>
      </c>
      <c r="J127" s="479">
        <f t="shared" si="10"/>
        <v>0</v>
      </c>
      <c r="K127" s="479"/>
      <c r="L127" s="488"/>
      <c r="M127" s="479">
        <f t="shared" si="11"/>
        <v>0</v>
      </c>
      <c r="N127" s="488"/>
      <c r="O127" s="479">
        <f t="shared" si="12"/>
        <v>0</v>
      </c>
      <c r="P127" s="479">
        <f t="shared" si="13"/>
        <v>0</v>
      </c>
    </row>
    <row r="128" spans="2:16" ht="12.5">
      <c r="B128" s="160" t="str">
        <f t="shared" si="19"/>
        <v/>
      </c>
      <c r="C128" s="473">
        <f>IF(D93="","-",+C127+1)</f>
        <v>2047</v>
      </c>
      <c r="D128" s="347">
        <f>IF(F127+SUM(E$99:E127)=D$92,F127,D$92-SUM(E$99:E127))</f>
        <v>621841</v>
      </c>
      <c r="E128" s="485">
        <f t="shared" si="20"/>
        <v>47835</v>
      </c>
      <c r="F128" s="486">
        <f t="shared" si="21"/>
        <v>574006</v>
      </c>
      <c r="G128" s="486">
        <f t="shared" si="22"/>
        <v>597923.5</v>
      </c>
      <c r="H128" s="614">
        <f t="shared" si="23"/>
        <v>109489.29937322176</v>
      </c>
      <c r="I128" s="615">
        <f t="shared" si="24"/>
        <v>109489.29937322176</v>
      </c>
      <c r="J128" s="479">
        <f t="shared" si="10"/>
        <v>0</v>
      </c>
      <c r="K128" s="479"/>
      <c r="L128" s="488"/>
      <c r="M128" s="479">
        <f t="shared" si="11"/>
        <v>0</v>
      </c>
      <c r="N128" s="488"/>
      <c r="O128" s="479">
        <f t="shared" si="12"/>
        <v>0</v>
      </c>
      <c r="P128" s="479">
        <f t="shared" si="13"/>
        <v>0</v>
      </c>
    </row>
    <row r="129" spans="2:16" ht="12.5">
      <c r="B129" s="160" t="str">
        <f t="shared" si="19"/>
        <v/>
      </c>
      <c r="C129" s="473">
        <f>IF(D93="","-",+C128+1)</f>
        <v>2048</v>
      </c>
      <c r="D129" s="347">
        <f>IF(F128+SUM(E$99:E128)=D$92,F128,D$92-SUM(E$99:E128))</f>
        <v>574006</v>
      </c>
      <c r="E129" s="485">
        <f t="shared" si="20"/>
        <v>47835</v>
      </c>
      <c r="F129" s="486">
        <f t="shared" si="21"/>
        <v>526171</v>
      </c>
      <c r="G129" s="486">
        <f t="shared" si="22"/>
        <v>550088.5</v>
      </c>
      <c r="H129" s="614">
        <f t="shared" si="23"/>
        <v>104556.8399356548</v>
      </c>
      <c r="I129" s="615">
        <f t="shared" si="24"/>
        <v>104556.8399356548</v>
      </c>
      <c r="J129" s="479">
        <f t="shared" si="10"/>
        <v>0</v>
      </c>
      <c r="K129" s="479"/>
      <c r="L129" s="488"/>
      <c r="M129" s="479">
        <f t="shared" si="11"/>
        <v>0</v>
      </c>
      <c r="N129" s="488"/>
      <c r="O129" s="479">
        <f t="shared" si="12"/>
        <v>0</v>
      </c>
      <c r="P129" s="479">
        <f t="shared" si="13"/>
        <v>0</v>
      </c>
    </row>
    <row r="130" spans="2:16" ht="12.5">
      <c r="B130" s="160" t="str">
        <f t="shared" si="19"/>
        <v/>
      </c>
      <c r="C130" s="473">
        <f>IF(D93="","-",+C129+1)</f>
        <v>2049</v>
      </c>
      <c r="D130" s="347">
        <f>IF(F129+SUM(E$99:E129)=D$92,F129,D$92-SUM(E$99:E129))</f>
        <v>526171</v>
      </c>
      <c r="E130" s="485">
        <f t="shared" si="20"/>
        <v>47835</v>
      </c>
      <c r="F130" s="486">
        <f t="shared" si="21"/>
        <v>478336</v>
      </c>
      <c r="G130" s="486">
        <f t="shared" si="22"/>
        <v>502253.5</v>
      </c>
      <c r="H130" s="614">
        <f t="shared" si="23"/>
        <v>99624.380498087863</v>
      </c>
      <c r="I130" s="615">
        <f t="shared" si="24"/>
        <v>99624.380498087863</v>
      </c>
      <c r="J130" s="479">
        <f t="shared" si="10"/>
        <v>0</v>
      </c>
      <c r="K130" s="479"/>
      <c r="L130" s="488"/>
      <c r="M130" s="479">
        <f t="shared" si="11"/>
        <v>0</v>
      </c>
      <c r="N130" s="488"/>
      <c r="O130" s="479">
        <f t="shared" si="12"/>
        <v>0</v>
      </c>
      <c r="P130" s="479">
        <f t="shared" si="13"/>
        <v>0</v>
      </c>
    </row>
    <row r="131" spans="2:16" ht="12.5">
      <c r="B131" s="160" t="str">
        <f t="shared" si="19"/>
        <v/>
      </c>
      <c r="C131" s="473">
        <f>IF(D93="","-",+C130+1)</f>
        <v>2050</v>
      </c>
      <c r="D131" s="347">
        <f>IF(F130+SUM(E$99:E130)=D$92,F130,D$92-SUM(E$99:E130))</f>
        <v>478336</v>
      </c>
      <c r="E131" s="485">
        <f t="shared" si="20"/>
        <v>47835</v>
      </c>
      <c r="F131" s="486">
        <f t="shared" si="21"/>
        <v>430501</v>
      </c>
      <c r="G131" s="486">
        <f t="shared" si="22"/>
        <v>454418.5</v>
      </c>
      <c r="H131" s="614">
        <f t="shared" si="23"/>
        <v>94691.921060520908</v>
      </c>
      <c r="I131" s="615">
        <f t="shared" si="24"/>
        <v>94691.921060520908</v>
      </c>
      <c r="J131" s="479">
        <f t="shared" ref="J131:J154" si="25">+I541-H541</f>
        <v>0</v>
      </c>
      <c r="K131" s="479"/>
      <c r="L131" s="488"/>
      <c r="M131" s="479">
        <f t="shared" ref="M131:M154" si="26">IF(L541&lt;&gt;0,+H541-L541,0)</f>
        <v>0</v>
      </c>
      <c r="N131" s="488"/>
      <c r="O131" s="479">
        <f t="shared" ref="O131:O154" si="27">IF(N541&lt;&gt;0,+I541-N541,0)</f>
        <v>0</v>
      </c>
      <c r="P131" s="479">
        <f t="shared" ref="P131:P154" si="28">+O541-M541</f>
        <v>0</v>
      </c>
    </row>
    <row r="132" spans="2:16" ht="12.5">
      <c r="B132" s="160" t="str">
        <f t="shared" si="19"/>
        <v/>
      </c>
      <c r="C132" s="473">
        <f>IF(D93="","-",+C131+1)</f>
        <v>2051</v>
      </c>
      <c r="D132" s="347">
        <f>IF(F131+SUM(E$99:E131)=D$92,F131,D$92-SUM(E$99:E131))</f>
        <v>430501</v>
      </c>
      <c r="E132" s="485">
        <f t="shared" si="20"/>
        <v>47835</v>
      </c>
      <c r="F132" s="486">
        <f t="shared" si="21"/>
        <v>382666</v>
      </c>
      <c r="G132" s="486">
        <f t="shared" si="22"/>
        <v>406583.5</v>
      </c>
      <c r="H132" s="614">
        <f t="shared" si="23"/>
        <v>89759.461622953968</v>
      </c>
      <c r="I132" s="615">
        <f t="shared" si="24"/>
        <v>89759.461622953968</v>
      </c>
      <c r="J132" s="479">
        <f t="shared" si="25"/>
        <v>0</v>
      </c>
      <c r="K132" s="479"/>
      <c r="L132" s="488"/>
      <c r="M132" s="479">
        <f t="shared" si="26"/>
        <v>0</v>
      </c>
      <c r="N132" s="488"/>
      <c r="O132" s="479">
        <f t="shared" si="27"/>
        <v>0</v>
      </c>
      <c r="P132" s="479">
        <f t="shared" si="28"/>
        <v>0</v>
      </c>
    </row>
    <row r="133" spans="2:16" ht="12.5">
      <c r="B133" s="160" t="str">
        <f t="shared" si="19"/>
        <v/>
      </c>
      <c r="C133" s="473">
        <f>IF(D93="","-",+C132+1)</f>
        <v>2052</v>
      </c>
      <c r="D133" s="347">
        <f>IF(F132+SUM(E$99:E132)=D$92,F132,D$92-SUM(E$99:E132))</f>
        <v>382666</v>
      </c>
      <c r="E133" s="485">
        <f t="shared" si="20"/>
        <v>47835</v>
      </c>
      <c r="F133" s="486">
        <f t="shared" si="21"/>
        <v>334831</v>
      </c>
      <c r="G133" s="486">
        <f t="shared" si="22"/>
        <v>358748.5</v>
      </c>
      <c r="H133" s="614">
        <f t="shared" si="23"/>
        <v>84827.002185387013</v>
      </c>
      <c r="I133" s="615">
        <f t="shared" si="24"/>
        <v>84827.002185387013</v>
      </c>
      <c r="J133" s="479">
        <f t="shared" si="25"/>
        <v>0</v>
      </c>
      <c r="K133" s="479"/>
      <c r="L133" s="488"/>
      <c r="M133" s="479">
        <f t="shared" si="26"/>
        <v>0</v>
      </c>
      <c r="N133" s="488"/>
      <c r="O133" s="479">
        <f t="shared" si="27"/>
        <v>0</v>
      </c>
      <c r="P133" s="479">
        <f t="shared" si="28"/>
        <v>0</v>
      </c>
    </row>
    <row r="134" spans="2:16" ht="12.5">
      <c r="B134" s="160" t="str">
        <f t="shared" si="19"/>
        <v/>
      </c>
      <c r="C134" s="473">
        <f>IF(D93="","-",+C133+1)</f>
        <v>2053</v>
      </c>
      <c r="D134" s="347">
        <f>IF(F133+SUM(E$99:E133)=D$92,F133,D$92-SUM(E$99:E133))</f>
        <v>334831</v>
      </c>
      <c r="E134" s="485">
        <f t="shared" si="20"/>
        <v>47835</v>
      </c>
      <c r="F134" s="486">
        <f t="shared" si="21"/>
        <v>286996</v>
      </c>
      <c r="G134" s="486">
        <f t="shared" si="22"/>
        <v>310913.5</v>
      </c>
      <c r="H134" s="614">
        <f t="shared" si="23"/>
        <v>79894.542747820058</v>
      </c>
      <c r="I134" s="615">
        <f t="shared" si="24"/>
        <v>79894.542747820058</v>
      </c>
      <c r="J134" s="479">
        <f t="shared" si="25"/>
        <v>0</v>
      </c>
      <c r="K134" s="479"/>
      <c r="L134" s="488"/>
      <c r="M134" s="479">
        <f t="shared" si="26"/>
        <v>0</v>
      </c>
      <c r="N134" s="488"/>
      <c r="O134" s="479">
        <f t="shared" si="27"/>
        <v>0</v>
      </c>
      <c r="P134" s="479">
        <f t="shared" si="28"/>
        <v>0</v>
      </c>
    </row>
    <row r="135" spans="2:16" ht="12.5">
      <c r="B135" s="160" t="str">
        <f t="shared" si="19"/>
        <v/>
      </c>
      <c r="C135" s="473">
        <f>IF(D93="","-",+C134+1)</f>
        <v>2054</v>
      </c>
      <c r="D135" s="347">
        <f>IF(F134+SUM(E$99:E134)=D$92,F134,D$92-SUM(E$99:E134))</f>
        <v>286996</v>
      </c>
      <c r="E135" s="485">
        <f t="shared" si="20"/>
        <v>47835</v>
      </c>
      <c r="F135" s="486">
        <f t="shared" si="21"/>
        <v>239161</v>
      </c>
      <c r="G135" s="486">
        <f t="shared" si="22"/>
        <v>263078.5</v>
      </c>
      <c r="H135" s="614">
        <f t="shared" si="23"/>
        <v>74962.083310253103</v>
      </c>
      <c r="I135" s="615">
        <f t="shared" si="24"/>
        <v>74962.083310253103</v>
      </c>
      <c r="J135" s="479">
        <f t="shared" si="25"/>
        <v>0</v>
      </c>
      <c r="K135" s="479"/>
      <c r="L135" s="488"/>
      <c r="M135" s="479">
        <f t="shared" si="26"/>
        <v>0</v>
      </c>
      <c r="N135" s="488"/>
      <c r="O135" s="479">
        <f t="shared" si="27"/>
        <v>0</v>
      </c>
      <c r="P135" s="479">
        <f t="shared" si="28"/>
        <v>0</v>
      </c>
    </row>
    <row r="136" spans="2:16" ht="12.5">
      <c r="B136" s="160" t="str">
        <f t="shared" si="19"/>
        <v/>
      </c>
      <c r="C136" s="473">
        <f>IF(D93="","-",+C135+1)</f>
        <v>2055</v>
      </c>
      <c r="D136" s="347">
        <f>IF(F135+SUM(E$99:E135)=D$92,F135,D$92-SUM(E$99:E135))</f>
        <v>239161</v>
      </c>
      <c r="E136" s="485">
        <f t="shared" si="20"/>
        <v>47835</v>
      </c>
      <c r="F136" s="486">
        <f t="shared" si="21"/>
        <v>191326</v>
      </c>
      <c r="G136" s="486">
        <f t="shared" si="22"/>
        <v>215243.5</v>
      </c>
      <c r="H136" s="614">
        <f t="shared" si="23"/>
        <v>70029.623872686148</v>
      </c>
      <c r="I136" s="615">
        <f t="shared" si="24"/>
        <v>70029.623872686148</v>
      </c>
      <c r="J136" s="479">
        <f t="shared" si="25"/>
        <v>0</v>
      </c>
      <c r="K136" s="479"/>
      <c r="L136" s="488"/>
      <c r="M136" s="479">
        <f t="shared" si="26"/>
        <v>0</v>
      </c>
      <c r="N136" s="488"/>
      <c r="O136" s="479">
        <f t="shared" si="27"/>
        <v>0</v>
      </c>
      <c r="P136" s="479">
        <f t="shared" si="28"/>
        <v>0</v>
      </c>
    </row>
    <row r="137" spans="2:16" ht="12.5">
      <c r="B137" s="160" t="str">
        <f t="shared" si="19"/>
        <v/>
      </c>
      <c r="C137" s="473">
        <f>IF(D93="","-",+C136+1)</f>
        <v>2056</v>
      </c>
      <c r="D137" s="347">
        <f>IF(F136+SUM(E$99:E136)=D$92,F136,D$92-SUM(E$99:E136))</f>
        <v>191326</v>
      </c>
      <c r="E137" s="485">
        <f t="shared" si="20"/>
        <v>47835</v>
      </c>
      <c r="F137" s="486">
        <f t="shared" si="21"/>
        <v>143491</v>
      </c>
      <c r="G137" s="486">
        <f t="shared" si="22"/>
        <v>167408.5</v>
      </c>
      <c r="H137" s="614">
        <f t="shared" si="23"/>
        <v>65097.164435119201</v>
      </c>
      <c r="I137" s="615">
        <f t="shared" si="24"/>
        <v>65097.164435119201</v>
      </c>
      <c r="J137" s="479">
        <f t="shared" si="25"/>
        <v>0</v>
      </c>
      <c r="K137" s="479"/>
      <c r="L137" s="488"/>
      <c r="M137" s="479">
        <f t="shared" si="26"/>
        <v>0</v>
      </c>
      <c r="N137" s="488"/>
      <c r="O137" s="479">
        <f t="shared" si="27"/>
        <v>0</v>
      </c>
      <c r="P137" s="479">
        <f t="shared" si="28"/>
        <v>0</v>
      </c>
    </row>
    <row r="138" spans="2:16" ht="12.5">
      <c r="B138" s="160" t="str">
        <f t="shared" si="19"/>
        <v/>
      </c>
      <c r="C138" s="473">
        <f>IF(D93="","-",+C137+1)</f>
        <v>2057</v>
      </c>
      <c r="D138" s="347">
        <f>IF(F137+SUM(E$99:E137)=D$92,F137,D$92-SUM(E$99:E137))</f>
        <v>143491</v>
      </c>
      <c r="E138" s="485">
        <f t="shared" si="20"/>
        <v>47835</v>
      </c>
      <c r="F138" s="486">
        <f t="shared" si="21"/>
        <v>95656</v>
      </c>
      <c r="G138" s="486">
        <f t="shared" si="22"/>
        <v>119573.5</v>
      </c>
      <c r="H138" s="614">
        <f t="shared" si="23"/>
        <v>60164.704997552253</v>
      </c>
      <c r="I138" s="615">
        <f t="shared" si="24"/>
        <v>60164.704997552253</v>
      </c>
      <c r="J138" s="479">
        <f t="shared" si="25"/>
        <v>0</v>
      </c>
      <c r="K138" s="479"/>
      <c r="L138" s="488"/>
      <c r="M138" s="479">
        <f t="shared" si="26"/>
        <v>0</v>
      </c>
      <c r="N138" s="488"/>
      <c r="O138" s="479">
        <f t="shared" si="27"/>
        <v>0</v>
      </c>
      <c r="P138" s="479">
        <f t="shared" si="28"/>
        <v>0</v>
      </c>
    </row>
    <row r="139" spans="2:16" ht="12.5">
      <c r="B139" s="160" t="str">
        <f t="shared" si="19"/>
        <v/>
      </c>
      <c r="C139" s="473">
        <f>IF(D93="","-",+C138+1)</f>
        <v>2058</v>
      </c>
      <c r="D139" s="347">
        <f>IF(F138+SUM(E$99:E138)=D$92,F138,D$92-SUM(E$99:E138))</f>
        <v>95656</v>
      </c>
      <c r="E139" s="485">
        <f t="shared" si="20"/>
        <v>47835</v>
      </c>
      <c r="F139" s="486">
        <f t="shared" si="21"/>
        <v>47821</v>
      </c>
      <c r="G139" s="486">
        <f t="shared" si="22"/>
        <v>71738.5</v>
      </c>
      <c r="H139" s="614">
        <f t="shared" si="23"/>
        <v>55232.245559985298</v>
      </c>
      <c r="I139" s="615">
        <f t="shared" si="24"/>
        <v>55232.245559985298</v>
      </c>
      <c r="J139" s="479">
        <f t="shared" si="25"/>
        <v>0</v>
      </c>
      <c r="K139" s="479"/>
      <c r="L139" s="488"/>
      <c r="M139" s="479">
        <f t="shared" si="26"/>
        <v>0</v>
      </c>
      <c r="N139" s="488"/>
      <c r="O139" s="479">
        <f t="shared" si="27"/>
        <v>0</v>
      </c>
      <c r="P139" s="479">
        <f t="shared" si="28"/>
        <v>0</v>
      </c>
    </row>
    <row r="140" spans="2:16" ht="12.5">
      <c r="B140" s="160" t="str">
        <f t="shared" si="19"/>
        <v/>
      </c>
      <c r="C140" s="473">
        <f>IF(D93="","-",+C139+1)</f>
        <v>2059</v>
      </c>
      <c r="D140" s="347">
        <f>IF(F139+SUM(E$99:E139)=D$92,F139,D$92-SUM(E$99:E139))</f>
        <v>47821</v>
      </c>
      <c r="E140" s="485">
        <f t="shared" si="20"/>
        <v>47821</v>
      </c>
      <c r="F140" s="486">
        <f t="shared" si="21"/>
        <v>0</v>
      </c>
      <c r="G140" s="486">
        <f t="shared" si="22"/>
        <v>23910.5</v>
      </c>
      <c r="H140" s="614">
        <f t="shared" si="23"/>
        <v>50286.50792060091</v>
      </c>
      <c r="I140" s="615">
        <f t="shared" si="24"/>
        <v>50286.50792060091</v>
      </c>
      <c r="J140" s="479">
        <f t="shared" si="25"/>
        <v>0</v>
      </c>
      <c r="K140" s="479"/>
      <c r="L140" s="488"/>
      <c r="M140" s="479">
        <f t="shared" si="26"/>
        <v>0</v>
      </c>
      <c r="N140" s="488"/>
      <c r="O140" s="479">
        <f t="shared" si="27"/>
        <v>0</v>
      </c>
      <c r="P140" s="479">
        <f t="shared" si="28"/>
        <v>0</v>
      </c>
    </row>
    <row r="141" spans="2:16" ht="12.5">
      <c r="B141" s="160" t="str">
        <f t="shared" si="19"/>
        <v/>
      </c>
      <c r="C141" s="473">
        <f>IF(D93="","-",+C140+1)</f>
        <v>2060</v>
      </c>
      <c r="D141" s="347">
        <f>IF(F140+SUM(E$99:E140)=D$92,F140,D$92-SUM(E$99:E140))</f>
        <v>0</v>
      </c>
      <c r="E141" s="485">
        <f t="shared" si="20"/>
        <v>0</v>
      </c>
      <c r="F141" s="486">
        <f t="shared" si="21"/>
        <v>0</v>
      </c>
      <c r="G141" s="486">
        <f t="shared" si="22"/>
        <v>0</v>
      </c>
      <c r="H141" s="614">
        <f t="shared" si="23"/>
        <v>0</v>
      </c>
      <c r="I141" s="615">
        <f t="shared" si="24"/>
        <v>0</v>
      </c>
      <c r="J141" s="479">
        <f t="shared" si="25"/>
        <v>0</v>
      </c>
      <c r="K141" s="479"/>
      <c r="L141" s="488"/>
      <c r="M141" s="479">
        <f t="shared" si="26"/>
        <v>0</v>
      </c>
      <c r="N141" s="488"/>
      <c r="O141" s="479">
        <f t="shared" si="27"/>
        <v>0</v>
      </c>
      <c r="P141" s="479">
        <f t="shared" si="28"/>
        <v>0</v>
      </c>
    </row>
    <row r="142" spans="2:16" ht="12.5">
      <c r="B142" s="160" t="str">
        <f t="shared" si="19"/>
        <v/>
      </c>
      <c r="C142" s="473">
        <f>IF(D93="","-",+C141+1)</f>
        <v>2061</v>
      </c>
      <c r="D142" s="347">
        <f>IF(F141+SUM(E$99:E141)=D$92,F141,D$92-SUM(E$99:E141))</f>
        <v>0</v>
      </c>
      <c r="E142" s="485">
        <f t="shared" si="20"/>
        <v>0</v>
      </c>
      <c r="F142" s="486">
        <f t="shared" si="21"/>
        <v>0</v>
      </c>
      <c r="G142" s="486">
        <f t="shared" si="22"/>
        <v>0</v>
      </c>
      <c r="H142" s="614">
        <f t="shared" si="23"/>
        <v>0</v>
      </c>
      <c r="I142" s="615">
        <f t="shared" si="24"/>
        <v>0</v>
      </c>
      <c r="J142" s="479">
        <f t="shared" si="25"/>
        <v>0</v>
      </c>
      <c r="K142" s="479"/>
      <c r="L142" s="488"/>
      <c r="M142" s="479">
        <f t="shared" si="26"/>
        <v>0</v>
      </c>
      <c r="N142" s="488"/>
      <c r="O142" s="479">
        <f t="shared" si="27"/>
        <v>0</v>
      </c>
      <c r="P142" s="479">
        <f t="shared" si="28"/>
        <v>0</v>
      </c>
    </row>
    <row r="143" spans="2:16" ht="12.5">
      <c r="B143" s="160" t="str">
        <f t="shared" si="19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20"/>
        <v>0</v>
      </c>
      <c r="F143" s="486">
        <f t="shared" si="21"/>
        <v>0</v>
      </c>
      <c r="G143" s="486">
        <f t="shared" si="22"/>
        <v>0</v>
      </c>
      <c r="H143" s="614">
        <f t="shared" si="23"/>
        <v>0</v>
      </c>
      <c r="I143" s="615">
        <f t="shared" si="24"/>
        <v>0</v>
      </c>
      <c r="J143" s="479">
        <f t="shared" si="25"/>
        <v>0</v>
      </c>
      <c r="K143" s="479"/>
      <c r="L143" s="488"/>
      <c r="M143" s="479">
        <f t="shared" si="26"/>
        <v>0</v>
      </c>
      <c r="N143" s="488"/>
      <c r="O143" s="479">
        <f t="shared" si="27"/>
        <v>0</v>
      </c>
      <c r="P143" s="479">
        <f t="shared" si="28"/>
        <v>0</v>
      </c>
    </row>
    <row r="144" spans="2:16" ht="12.5">
      <c r="B144" s="160" t="str">
        <f t="shared" si="19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20"/>
        <v>0</v>
      </c>
      <c r="F144" s="486">
        <f t="shared" si="21"/>
        <v>0</v>
      </c>
      <c r="G144" s="486">
        <f t="shared" si="22"/>
        <v>0</v>
      </c>
      <c r="H144" s="614">
        <f t="shared" si="23"/>
        <v>0</v>
      </c>
      <c r="I144" s="615">
        <f t="shared" si="24"/>
        <v>0</v>
      </c>
      <c r="J144" s="479">
        <f t="shared" si="25"/>
        <v>0</v>
      </c>
      <c r="K144" s="479"/>
      <c r="L144" s="488"/>
      <c r="M144" s="479">
        <f t="shared" si="26"/>
        <v>0</v>
      </c>
      <c r="N144" s="488"/>
      <c r="O144" s="479">
        <f t="shared" si="27"/>
        <v>0</v>
      </c>
      <c r="P144" s="479">
        <f t="shared" si="28"/>
        <v>0</v>
      </c>
    </row>
    <row r="145" spans="2:16" ht="12.5">
      <c r="B145" s="160" t="str">
        <f t="shared" si="19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20"/>
        <v>0</v>
      </c>
      <c r="F145" s="486">
        <f t="shared" si="21"/>
        <v>0</v>
      </c>
      <c r="G145" s="486">
        <f t="shared" si="22"/>
        <v>0</v>
      </c>
      <c r="H145" s="614">
        <f t="shared" si="23"/>
        <v>0</v>
      </c>
      <c r="I145" s="615">
        <f t="shared" si="24"/>
        <v>0</v>
      </c>
      <c r="J145" s="479">
        <f t="shared" si="25"/>
        <v>0</v>
      </c>
      <c r="K145" s="479"/>
      <c r="L145" s="488"/>
      <c r="M145" s="479">
        <f t="shared" si="26"/>
        <v>0</v>
      </c>
      <c r="N145" s="488"/>
      <c r="O145" s="479">
        <f t="shared" si="27"/>
        <v>0</v>
      </c>
      <c r="P145" s="479">
        <f t="shared" si="28"/>
        <v>0</v>
      </c>
    </row>
    <row r="146" spans="2:16" ht="12.5">
      <c r="B146" s="160" t="str">
        <f t="shared" si="19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20"/>
        <v>0</v>
      </c>
      <c r="F146" s="486">
        <f t="shared" si="21"/>
        <v>0</v>
      </c>
      <c r="G146" s="486">
        <f t="shared" si="22"/>
        <v>0</v>
      </c>
      <c r="H146" s="614">
        <f t="shared" si="23"/>
        <v>0</v>
      </c>
      <c r="I146" s="615">
        <f t="shared" si="24"/>
        <v>0</v>
      </c>
      <c r="J146" s="479">
        <f t="shared" si="25"/>
        <v>0</v>
      </c>
      <c r="K146" s="479"/>
      <c r="L146" s="488"/>
      <c r="M146" s="479">
        <f t="shared" si="26"/>
        <v>0</v>
      </c>
      <c r="N146" s="488"/>
      <c r="O146" s="479">
        <f t="shared" si="27"/>
        <v>0</v>
      </c>
      <c r="P146" s="479">
        <f t="shared" si="28"/>
        <v>0</v>
      </c>
    </row>
    <row r="147" spans="2:16" ht="12.5">
      <c r="B147" s="160" t="str">
        <f t="shared" si="19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20"/>
        <v>0</v>
      </c>
      <c r="F147" s="486">
        <f t="shared" si="21"/>
        <v>0</v>
      </c>
      <c r="G147" s="486">
        <f t="shared" si="22"/>
        <v>0</v>
      </c>
      <c r="H147" s="614">
        <f t="shared" si="23"/>
        <v>0</v>
      </c>
      <c r="I147" s="615">
        <f t="shared" si="24"/>
        <v>0</v>
      </c>
      <c r="J147" s="479">
        <f t="shared" si="25"/>
        <v>0</v>
      </c>
      <c r="K147" s="479"/>
      <c r="L147" s="488"/>
      <c r="M147" s="479">
        <f t="shared" si="26"/>
        <v>0</v>
      </c>
      <c r="N147" s="488"/>
      <c r="O147" s="479">
        <f t="shared" si="27"/>
        <v>0</v>
      </c>
      <c r="P147" s="479">
        <f t="shared" si="28"/>
        <v>0</v>
      </c>
    </row>
    <row r="148" spans="2:16" ht="12.5">
      <c r="B148" s="160" t="str">
        <f t="shared" si="19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20"/>
        <v>0</v>
      </c>
      <c r="F148" s="486">
        <f t="shared" si="21"/>
        <v>0</v>
      </c>
      <c r="G148" s="486">
        <f t="shared" si="22"/>
        <v>0</v>
      </c>
      <c r="H148" s="614">
        <f t="shared" si="23"/>
        <v>0</v>
      </c>
      <c r="I148" s="615">
        <f t="shared" si="24"/>
        <v>0</v>
      </c>
      <c r="J148" s="479">
        <f t="shared" si="25"/>
        <v>0</v>
      </c>
      <c r="K148" s="479"/>
      <c r="L148" s="488"/>
      <c r="M148" s="479">
        <f t="shared" si="26"/>
        <v>0</v>
      </c>
      <c r="N148" s="488"/>
      <c r="O148" s="479">
        <f t="shared" si="27"/>
        <v>0</v>
      </c>
      <c r="P148" s="479">
        <f t="shared" si="28"/>
        <v>0</v>
      </c>
    </row>
    <row r="149" spans="2:16" ht="12.5">
      <c r="B149" s="160" t="str">
        <f t="shared" si="19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20"/>
        <v>0</v>
      </c>
      <c r="F149" s="486">
        <f t="shared" si="21"/>
        <v>0</v>
      </c>
      <c r="G149" s="486">
        <f t="shared" si="22"/>
        <v>0</v>
      </c>
      <c r="H149" s="614">
        <f t="shared" si="23"/>
        <v>0</v>
      </c>
      <c r="I149" s="615">
        <f t="shared" si="24"/>
        <v>0</v>
      </c>
      <c r="J149" s="479">
        <f t="shared" si="25"/>
        <v>0</v>
      </c>
      <c r="K149" s="479"/>
      <c r="L149" s="488"/>
      <c r="M149" s="479">
        <f t="shared" si="26"/>
        <v>0</v>
      </c>
      <c r="N149" s="488"/>
      <c r="O149" s="479">
        <f t="shared" si="27"/>
        <v>0</v>
      </c>
      <c r="P149" s="479">
        <f t="shared" si="28"/>
        <v>0</v>
      </c>
    </row>
    <row r="150" spans="2:16" ht="12.5">
      <c r="B150" s="160" t="str">
        <f t="shared" si="19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20"/>
        <v>0</v>
      </c>
      <c r="F150" s="486">
        <f t="shared" si="21"/>
        <v>0</v>
      </c>
      <c r="G150" s="486">
        <f t="shared" si="22"/>
        <v>0</v>
      </c>
      <c r="H150" s="614">
        <f t="shared" si="23"/>
        <v>0</v>
      </c>
      <c r="I150" s="615">
        <f t="shared" si="24"/>
        <v>0</v>
      </c>
      <c r="J150" s="479">
        <f t="shared" si="25"/>
        <v>0</v>
      </c>
      <c r="K150" s="479"/>
      <c r="L150" s="488"/>
      <c r="M150" s="479">
        <f t="shared" si="26"/>
        <v>0</v>
      </c>
      <c r="N150" s="488"/>
      <c r="O150" s="479">
        <f t="shared" si="27"/>
        <v>0</v>
      </c>
      <c r="P150" s="479">
        <f t="shared" si="28"/>
        <v>0</v>
      </c>
    </row>
    <row r="151" spans="2:16" ht="12.5">
      <c r="B151" s="160" t="str">
        <f t="shared" si="19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20"/>
        <v>0</v>
      </c>
      <c r="F151" s="486">
        <f t="shared" si="21"/>
        <v>0</v>
      </c>
      <c r="G151" s="486">
        <f t="shared" si="22"/>
        <v>0</v>
      </c>
      <c r="H151" s="614">
        <f t="shared" si="23"/>
        <v>0</v>
      </c>
      <c r="I151" s="615">
        <f t="shared" si="24"/>
        <v>0</v>
      </c>
      <c r="J151" s="479">
        <f t="shared" si="25"/>
        <v>0</v>
      </c>
      <c r="K151" s="479"/>
      <c r="L151" s="488"/>
      <c r="M151" s="479">
        <f t="shared" si="26"/>
        <v>0</v>
      </c>
      <c r="N151" s="488"/>
      <c r="O151" s="479">
        <f t="shared" si="27"/>
        <v>0</v>
      </c>
      <c r="P151" s="479">
        <f t="shared" si="28"/>
        <v>0</v>
      </c>
    </row>
    <row r="152" spans="2:16" ht="12.5">
      <c r="B152" s="160" t="str">
        <f t="shared" si="19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20"/>
        <v>0</v>
      </c>
      <c r="F152" s="486">
        <f t="shared" si="21"/>
        <v>0</v>
      </c>
      <c r="G152" s="486">
        <f t="shared" si="22"/>
        <v>0</v>
      </c>
      <c r="H152" s="614">
        <f t="shared" si="23"/>
        <v>0</v>
      </c>
      <c r="I152" s="615">
        <f t="shared" si="24"/>
        <v>0</v>
      </c>
      <c r="J152" s="479">
        <f t="shared" si="25"/>
        <v>0</v>
      </c>
      <c r="K152" s="479"/>
      <c r="L152" s="488"/>
      <c r="M152" s="479">
        <f t="shared" si="26"/>
        <v>0</v>
      </c>
      <c r="N152" s="488"/>
      <c r="O152" s="479">
        <f t="shared" si="27"/>
        <v>0</v>
      </c>
      <c r="P152" s="479">
        <f t="shared" si="28"/>
        <v>0</v>
      </c>
    </row>
    <row r="153" spans="2:16" ht="12.5">
      <c r="B153" s="160" t="str">
        <f t="shared" si="19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20"/>
        <v>0</v>
      </c>
      <c r="F153" s="486">
        <f t="shared" si="21"/>
        <v>0</v>
      </c>
      <c r="G153" s="486">
        <f t="shared" si="22"/>
        <v>0</v>
      </c>
      <c r="H153" s="614">
        <f t="shared" si="23"/>
        <v>0</v>
      </c>
      <c r="I153" s="615">
        <f t="shared" si="24"/>
        <v>0</v>
      </c>
      <c r="J153" s="479">
        <f t="shared" si="25"/>
        <v>0</v>
      </c>
      <c r="K153" s="479"/>
      <c r="L153" s="488"/>
      <c r="M153" s="479">
        <f t="shared" si="26"/>
        <v>0</v>
      </c>
      <c r="N153" s="488"/>
      <c r="O153" s="479">
        <f t="shared" si="27"/>
        <v>0</v>
      </c>
      <c r="P153" s="479">
        <f t="shared" si="28"/>
        <v>0</v>
      </c>
    </row>
    <row r="154" spans="2:16" ht="13" thickBot="1">
      <c r="B154" s="160" t="str">
        <f t="shared" si="19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20"/>
        <v>0</v>
      </c>
      <c r="F154" s="491">
        <f t="shared" si="21"/>
        <v>0</v>
      </c>
      <c r="G154" s="491">
        <f t="shared" si="22"/>
        <v>0</v>
      </c>
      <c r="H154" s="616">
        <f t="shared" si="23"/>
        <v>0</v>
      </c>
      <c r="I154" s="617">
        <f t="shared" si="24"/>
        <v>0</v>
      </c>
      <c r="J154" s="496">
        <f t="shared" si="25"/>
        <v>0</v>
      </c>
      <c r="K154" s="479"/>
      <c r="L154" s="495"/>
      <c r="M154" s="496">
        <f t="shared" si="26"/>
        <v>0</v>
      </c>
      <c r="N154" s="495"/>
      <c r="O154" s="496">
        <f t="shared" si="27"/>
        <v>0</v>
      </c>
      <c r="P154" s="496">
        <f t="shared" si="28"/>
        <v>0</v>
      </c>
    </row>
    <row r="155" spans="2:16" ht="12.5">
      <c r="C155" s="347" t="s">
        <v>77</v>
      </c>
      <c r="D155" s="348"/>
      <c r="E155" s="348">
        <f>SUM(E99:E154)</f>
        <v>1961221</v>
      </c>
      <c r="F155" s="348"/>
      <c r="G155" s="348"/>
      <c r="H155" s="348">
        <f>SUM(H99:H154)</f>
        <v>6179200.628877745</v>
      </c>
      <c r="I155" s="348">
        <f>SUM(I99:I154)</f>
        <v>6179200.628877745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tabSelected="1" view="pageBreakPreview" topLeftCell="E1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21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34470.293545069071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34470.293545069071</v>
      </c>
      <c r="O6" s="233"/>
      <c r="P6" s="233"/>
    </row>
    <row r="7" spans="1:16" ht="13.5" thickBot="1">
      <c r="C7" s="432" t="s">
        <v>46</v>
      </c>
      <c r="D7" s="600" t="s">
        <v>279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300</v>
      </c>
      <c r="E9" s="578" t="s">
        <v>301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330872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7352.7111111111108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2017</v>
      </c>
      <c r="D17" s="585">
        <v>0</v>
      </c>
      <c r="E17" s="609">
        <v>2847.8260869565215</v>
      </c>
      <c r="F17" s="585">
        <v>259152.17391304349</v>
      </c>
      <c r="G17" s="609">
        <v>19337.763747649027</v>
      </c>
      <c r="H17" s="588">
        <v>19337.763747649027</v>
      </c>
      <c r="I17" s="476">
        <f t="shared" ref="I17:I72" si="0">H17-G17</f>
        <v>0</v>
      </c>
      <c r="J17" s="476"/>
      <c r="K17" s="478">
        <f>+G17</f>
        <v>19337.763747649027</v>
      </c>
      <c r="L17" s="478">
        <f t="shared" ref="L17:L72" si="1">IF(K17&lt;&gt;0,+G17-K17,0)</f>
        <v>0</v>
      </c>
      <c r="M17" s="478">
        <f>+H17</f>
        <v>19337.763747649027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2018</v>
      </c>
      <c r="D18" s="585">
        <v>259152.17391304349</v>
      </c>
      <c r="E18" s="586">
        <v>5822.2222222222226</v>
      </c>
      <c r="F18" s="585">
        <v>253329.95169082127</v>
      </c>
      <c r="G18" s="586">
        <v>36509.380469214986</v>
      </c>
      <c r="H18" s="588">
        <v>36509.380469214986</v>
      </c>
      <c r="I18" s="476">
        <f t="shared" si="0"/>
        <v>0</v>
      </c>
      <c r="J18" s="476"/>
      <c r="K18" s="479">
        <f>+G18</f>
        <v>36509.380469214986</v>
      </c>
      <c r="L18" s="479">
        <f t="shared" si="1"/>
        <v>0</v>
      </c>
      <c r="M18" s="479">
        <f>+H18</f>
        <v>36509.380469214986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2019</v>
      </c>
      <c r="D19" s="585">
        <v>253329.95169082127</v>
      </c>
      <c r="E19" s="586">
        <v>6550</v>
      </c>
      <c r="F19" s="585">
        <v>246779.95169082127</v>
      </c>
      <c r="G19" s="586">
        <v>34470.293545069071</v>
      </c>
      <c r="H19" s="588">
        <v>34470.293545069071</v>
      </c>
      <c r="I19" s="476">
        <f t="shared" si="0"/>
        <v>0</v>
      </c>
      <c r="J19" s="476"/>
      <c r="K19" s="479">
        <f>+G19</f>
        <v>34470.293545069071</v>
      </c>
      <c r="L19" s="479">
        <f t="shared" ref="L19" si="4">IF(K19&lt;&gt;0,+G19-K19,0)</f>
        <v>0</v>
      </c>
      <c r="M19" s="479">
        <f>+H19</f>
        <v>34470.293545069071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2020</v>
      </c>
      <c r="D20" s="484">
        <f>IF(F19+SUM(E$17:E19)=D$10,F19,D$10-SUM(E$17:E19))</f>
        <v>315651.95169082127</v>
      </c>
      <c r="E20" s="485">
        <f t="shared" ref="E20:E72" si="6">IF(+I$14&lt;F19,I$14,D20)</f>
        <v>7352.7111111111108</v>
      </c>
      <c r="F20" s="486">
        <f t="shared" ref="F20:F72" si="7">+D20-E20</f>
        <v>308299.24057971017</v>
      </c>
      <c r="G20" s="487">
        <f t="shared" ref="G20:G72" si="8">(D20+F20)/2*I$12+E20</f>
        <v>49574.05636544431</v>
      </c>
      <c r="H20" s="456">
        <f t="shared" ref="H20:H72" si="9">+(D20+F20)/2*I$13+E20</f>
        <v>49574.05636544431</v>
      </c>
      <c r="I20" s="476">
        <f t="shared" si="0"/>
        <v>0</v>
      </c>
      <c r="J20" s="476"/>
      <c r="K20" s="488"/>
      <c r="L20" s="479">
        <f t="shared" si="1"/>
        <v>0</v>
      </c>
      <c r="M20" s="488"/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/>
      </c>
      <c r="C21" s="473">
        <f>IF(D11="","-",+C20+1)</f>
        <v>2021</v>
      </c>
      <c r="D21" s="484">
        <f>IF(F20+SUM(E$17:E20)=D$10,F20,D$10-SUM(E$17:E20))</f>
        <v>308299.24057971017</v>
      </c>
      <c r="E21" s="485">
        <f t="shared" si="6"/>
        <v>7352.7111111111108</v>
      </c>
      <c r="F21" s="486">
        <f t="shared" si="7"/>
        <v>300946.52946859907</v>
      </c>
      <c r="G21" s="487">
        <f t="shared" si="8"/>
        <v>48578.974191635454</v>
      </c>
      <c r="H21" s="456">
        <f t="shared" si="9"/>
        <v>48578.974191635454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2022</v>
      </c>
      <c r="D22" s="484">
        <f>IF(F21+SUM(E$17:E21)=D$10,F21,D$10-SUM(E$17:E21))</f>
        <v>300946.52946859907</v>
      </c>
      <c r="E22" s="485">
        <f t="shared" si="6"/>
        <v>7352.7111111111108</v>
      </c>
      <c r="F22" s="486">
        <f t="shared" si="7"/>
        <v>293593.81835748797</v>
      </c>
      <c r="G22" s="487">
        <f t="shared" si="8"/>
        <v>47583.892017826598</v>
      </c>
      <c r="H22" s="456">
        <f t="shared" si="9"/>
        <v>47583.892017826598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2023</v>
      </c>
      <c r="D23" s="484">
        <f>IF(F22+SUM(E$17:E22)=D$10,F22,D$10-SUM(E$17:E22))</f>
        <v>293593.81835748797</v>
      </c>
      <c r="E23" s="485">
        <f t="shared" si="6"/>
        <v>7352.7111111111108</v>
      </c>
      <c r="F23" s="486">
        <f t="shared" si="7"/>
        <v>286241.10724637687</v>
      </c>
      <c r="G23" s="487">
        <f t="shared" si="8"/>
        <v>46588.809844017742</v>
      </c>
      <c r="H23" s="456">
        <f t="shared" si="9"/>
        <v>46588.809844017742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2024</v>
      </c>
      <c r="D24" s="484">
        <f>IF(F23+SUM(E$17:E23)=D$10,F23,D$10-SUM(E$17:E23))</f>
        <v>286241.10724637687</v>
      </c>
      <c r="E24" s="485">
        <f t="shared" si="6"/>
        <v>7352.7111111111108</v>
      </c>
      <c r="F24" s="486">
        <f t="shared" si="7"/>
        <v>278888.39613526576</v>
      </c>
      <c r="G24" s="487">
        <f t="shared" si="8"/>
        <v>45593.727670208886</v>
      </c>
      <c r="H24" s="456">
        <f t="shared" si="9"/>
        <v>45593.727670208886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2025</v>
      </c>
      <c r="D25" s="484">
        <f>IF(F24+SUM(E$17:E24)=D$10,F24,D$10-SUM(E$17:E24))</f>
        <v>278888.39613526576</v>
      </c>
      <c r="E25" s="485">
        <f t="shared" si="6"/>
        <v>7352.7111111111108</v>
      </c>
      <c r="F25" s="486">
        <f t="shared" si="7"/>
        <v>271535.68502415466</v>
      </c>
      <c r="G25" s="487">
        <f t="shared" si="8"/>
        <v>44598.64549640003</v>
      </c>
      <c r="H25" s="456">
        <f t="shared" si="9"/>
        <v>44598.64549640003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2026</v>
      </c>
      <c r="D26" s="484">
        <f>IF(F25+SUM(E$17:E25)=D$10,F25,D$10-SUM(E$17:E25))</f>
        <v>271535.68502415466</v>
      </c>
      <c r="E26" s="485">
        <f t="shared" si="6"/>
        <v>7352.7111111111108</v>
      </c>
      <c r="F26" s="486">
        <f t="shared" si="7"/>
        <v>264182.97391304356</v>
      </c>
      <c r="G26" s="487">
        <f t="shared" si="8"/>
        <v>43603.563322591173</v>
      </c>
      <c r="H26" s="456">
        <f t="shared" si="9"/>
        <v>43603.563322591173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2027</v>
      </c>
      <c r="D27" s="484">
        <f>IF(F26+SUM(E$17:E26)=D$10,F26,D$10-SUM(E$17:E26))</f>
        <v>264182.97391304356</v>
      </c>
      <c r="E27" s="485">
        <f t="shared" si="6"/>
        <v>7352.7111111111108</v>
      </c>
      <c r="F27" s="486">
        <f t="shared" si="7"/>
        <v>256830.26280193246</v>
      </c>
      <c r="G27" s="487">
        <f t="shared" si="8"/>
        <v>42608.481148782324</v>
      </c>
      <c r="H27" s="456">
        <f t="shared" si="9"/>
        <v>42608.481148782324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2028</v>
      </c>
      <c r="D28" s="484">
        <f>IF(F27+SUM(E$17:E27)=D$10,F27,D$10-SUM(E$17:E27))</f>
        <v>256830.26280193246</v>
      </c>
      <c r="E28" s="485">
        <f t="shared" si="6"/>
        <v>7352.7111111111108</v>
      </c>
      <c r="F28" s="486">
        <f t="shared" si="7"/>
        <v>249477.55169082136</v>
      </c>
      <c r="G28" s="487">
        <f t="shared" si="8"/>
        <v>41613.398974973468</v>
      </c>
      <c r="H28" s="456">
        <f t="shared" si="9"/>
        <v>41613.398974973468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2029</v>
      </c>
      <c r="D29" s="484">
        <f>IF(F28+SUM(E$17:E28)=D$10,F28,D$10-SUM(E$17:E28))</f>
        <v>249477.55169082136</v>
      </c>
      <c r="E29" s="485">
        <f t="shared" si="6"/>
        <v>7352.7111111111108</v>
      </c>
      <c r="F29" s="486">
        <f t="shared" si="7"/>
        <v>242124.84057971026</v>
      </c>
      <c r="G29" s="487">
        <f t="shared" si="8"/>
        <v>40618.316801164612</v>
      </c>
      <c r="H29" s="456">
        <f t="shared" si="9"/>
        <v>40618.316801164612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2030</v>
      </c>
      <c r="D30" s="484">
        <f>IF(F29+SUM(E$17:E29)=D$10,F29,D$10-SUM(E$17:E29))</f>
        <v>242124.84057971026</v>
      </c>
      <c r="E30" s="485">
        <f t="shared" si="6"/>
        <v>7352.7111111111108</v>
      </c>
      <c r="F30" s="486">
        <f t="shared" si="7"/>
        <v>234772.12946859916</v>
      </c>
      <c r="G30" s="487">
        <f t="shared" si="8"/>
        <v>39623.234627355756</v>
      </c>
      <c r="H30" s="456">
        <f t="shared" si="9"/>
        <v>39623.234627355756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2031</v>
      </c>
      <c r="D31" s="484">
        <f>IF(F30+SUM(E$17:E30)=D$10,F30,D$10-SUM(E$17:E30))</f>
        <v>234772.12946859916</v>
      </c>
      <c r="E31" s="485">
        <f t="shared" si="6"/>
        <v>7352.7111111111108</v>
      </c>
      <c r="F31" s="486">
        <f t="shared" si="7"/>
        <v>227419.41835748806</v>
      </c>
      <c r="G31" s="487">
        <f t="shared" si="8"/>
        <v>38628.1524535469</v>
      </c>
      <c r="H31" s="456">
        <f t="shared" si="9"/>
        <v>38628.1524535469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2032</v>
      </c>
      <c r="D32" s="484">
        <f>IF(F31+SUM(E$17:E31)=D$10,F31,D$10-SUM(E$17:E31))</f>
        <v>227419.41835748806</v>
      </c>
      <c r="E32" s="485">
        <f t="shared" si="6"/>
        <v>7352.7111111111108</v>
      </c>
      <c r="F32" s="486">
        <f t="shared" si="7"/>
        <v>220066.70724637696</v>
      </c>
      <c r="G32" s="487">
        <f t="shared" si="8"/>
        <v>37633.070279738051</v>
      </c>
      <c r="H32" s="456">
        <f t="shared" si="9"/>
        <v>37633.070279738051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2033</v>
      </c>
      <c r="D33" s="484">
        <f>IF(F32+SUM(E$17:E32)=D$10,F32,D$10-SUM(E$17:E32))</f>
        <v>220066.70724637696</v>
      </c>
      <c r="E33" s="485">
        <f t="shared" si="6"/>
        <v>7352.7111111111108</v>
      </c>
      <c r="F33" s="486">
        <f t="shared" si="7"/>
        <v>212713.99613526586</v>
      </c>
      <c r="G33" s="487">
        <f t="shared" si="8"/>
        <v>36637.988105929195</v>
      </c>
      <c r="H33" s="456">
        <f t="shared" si="9"/>
        <v>36637.988105929195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2034</v>
      </c>
      <c r="D34" s="484">
        <f>IF(F33+SUM(E$17:E33)=D$10,F33,D$10-SUM(E$17:E33))</f>
        <v>212713.99613526586</v>
      </c>
      <c r="E34" s="485">
        <f t="shared" si="6"/>
        <v>7352.7111111111108</v>
      </c>
      <c r="F34" s="486">
        <f t="shared" si="7"/>
        <v>205361.28502415476</v>
      </c>
      <c r="G34" s="487">
        <f t="shared" si="8"/>
        <v>35642.905932120339</v>
      </c>
      <c r="H34" s="456">
        <f t="shared" si="9"/>
        <v>35642.905932120339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2035</v>
      </c>
      <c r="D35" s="484">
        <f>IF(F34+SUM(E$17:E34)=D$10,F34,D$10-SUM(E$17:E34))</f>
        <v>205361.28502415476</v>
      </c>
      <c r="E35" s="485">
        <f t="shared" si="6"/>
        <v>7352.7111111111108</v>
      </c>
      <c r="F35" s="486">
        <f t="shared" si="7"/>
        <v>198008.57391304366</v>
      </c>
      <c r="G35" s="487">
        <f t="shared" si="8"/>
        <v>34647.823758311482</v>
      </c>
      <c r="H35" s="456">
        <f t="shared" si="9"/>
        <v>34647.823758311482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2036</v>
      </c>
      <c r="D36" s="484">
        <f>IF(F35+SUM(E$17:E35)=D$10,F35,D$10-SUM(E$17:E35))</f>
        <v>198008.57391304366</v>
      </c>
      <c r="E36" s="485">
        <f t="shared" si="6"/>
        <v>7352.7111111111108</v>
      </c>
      <c r="F36" s="486">
        <f t="shared" si="7"/>
        <v>190655.86280193256</v>
      </c>
      <c r="G36" s="487">
        <f t="shared" si="8"/>
        <v>33652.741584502626</v>
      </c>
      <c r="H36" s="456">
        <f t="shared" si="9"/>
        <v>33652.741584502626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2037</v>
      </c>
      <c r="D37" s="484">
        <f>IF(F36+SUM(E$17:E36)=D$10,F36,D$10-SUM(E$17:E36))</f>
        <v>190655.86280193256</v>
      </c>
      <c r="E37" s="485">
        <f t="shared" si="6"/>
        <v>7352.7111111111108</v>
      </c>
      <c r="F37" s="486">
        <f t="shared" si="7"/>
        <v>183303.15169082145</v>
      </c>
      <c r="G37" s="487">
        <f t="shared" si="8"/>
        <v>32657.659410693774</v>
      </c>
      <c r="H37" s="456">
        <f t="shared" si="9"/>
        <v>32657.659410693774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2038</v>
      </c>
      <c r="D38" s="484">
        <f>IF(F37+SUM(E$17:E37)=D$10,F37,D$10-SUM(E$17:E37))</f>
        <v>183303.15169082145</v>
      </c>
      <c r="E38" s="485">
        <f t="shared" si="6"/>
        <v>7352.7111111111108</v>
      </c>
      <c r="F38" s="486">
        <f t="shared" si="7"/>
        <v>175950.44057971035</v>
      </c>
      <c r="G38" s="487">
        <f t="shared" si="8"/>
        <v>31662.577236884921</v>
      </c>
      <c r="H38" s="456">
        <f t="shared" si="9"/>
        <v>31662.577236884921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2039</v>
      </c>
      <c r="D39" s="484">
        <f>IF(F38+SUM(E$17:E38)=D$10,F38,D$10-SUM(E$17:E38))</f>
        <v>175950.44057971035</v>
      </c>
      <c r="E39" s="485">
        <f t="shared" si="6"/>
        <v>7352.7111111111108</v>
      </c>
      <c r="F39" s="486">
        <f t="shared" si="7"/>
        <v>168597.72946859925</v>
      </c>
      <c r="G39" s="487">
        <f t="shared" si="8"/>
        <v>30667.495063076065</v>
      </c>
      <c r="H39" s="456">
        <f t="shared" si="9"/>
        <v>30667.495063076065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2040</v>
      </c>
      <c r="D40" s="484">
        <f>IF(F39+SUM(E$17:E39)=D$10,F39,D$10-SUM(E$17:E39))</f>
        <v>168597.72946859925</v>
      </c>
      <c r="E40" s="485">
        <f t="shared" si="6"/>
        <v>7352.7111111111108</v>
      </c>
      <c r="F40" s="486">
        <f t="shared" si="7"/>
        <v>161245.01835748815</v>
      </c>
      <c r="G40" s="487">
        <f t="shared" si="8"/>
        <v>29672.412889267209</v>
      </c>
      <c r="H40" s="456">
        <f t="shared" si="9"/>
        <v>29672.412889267209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2041</v>
      </c>
      <c r="D41" s="484">
        <f>IF(F40+SUM(E$17:E40)=D$10,F40,D$10-SUM(E$17:E40))</f>
        <v>161245.01835748815</v>
      </c>
      <c r="E41" s="485">
        <f t="shared" si="6"/>
        <v>7352.7111111111108</v>
      </c>
      <c r="F41" s="486">
        <f t="shared" si="7"/>
        <v>153892.30724637705</v>
      </c>
      <c r="G41" s="487">
        <f t="shared" si="8"/>
        <v>28677.330715458353</v>
      </c>
      <c r="H41" s="456">
        <f t="shared" si="9"/>
        <v>28677.330715458353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2042</v>
      </c>
      <c r="D42" s="484">
        <f>IF(F41+SUM(E$17:E41)=D$10,F41,D$10-SUM(E$17:E41))</f>
        <v>153892.30724637705</v>
      </c>
      <c r="E42" s="485">
        <f t="shared" si="6"/>
        <v>7352.7111111111108</v>
      </c>
      <c r="F42" s="486">
        <f t="shared" si="7"/>
        <v>146539.59613526595</v>
      </c>
      <c r="G42" s="487">
        <f t="shared" si="8"/>
        <v>27682.2485416495</v>
      </c>
      <c r="H42" s="456">
        <f t="shared" si="9"/>
        <v>27682.2485416495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2043</v>
      </c>
      <c r="D43" s="484">
        <f>IF(F42+SUM(E$17:E42)=D$10,F42,D$10-SUM(E$17:E42))</f>
        <v>146539.59613526595</v>
      </c>
      <c r="E43" s="485">
        <f t="shared" si="6"/>
        <v>7352.7111111111108</v>
      </c>
      <c r="F43" s="486">
        <f t="shared" si="7"/>
        <v>139186.88502415485</v>
      </c>
      <c r="G43" s="487">
        <f t="shared" si="8"/>
        <v>26687.166367840644</v>
      </c>
      <c r="H43" s="456">
        <f t="shared" si="9"/>
        <v>26687.166367840644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2044</v>
      </c>
      <c r="D44" s="484">
        <f>IF(F43+SUM(E$17:E43)=D$10,F43,D$10-SUM(E$17:E43))</f>
        <v>139186.88502415485</v>
      </c>
      <c r="E44" s="485">
        <f t="shared" si="6"/>
        <v>7352.7111111111108</v>
      </c>
      <c r="F44" s="486">
        <f t="shared" si="7"/>
        <v>131834.17391304375</v>
      </c>
      <c r="G44" s="487">
        <f t="shared" si="8"/>
        <v>25692.084194031788</v>
      </c>
      <c r="H44" s="456">
        <f t="shared" si="9"/>
        <v>25692.084194031788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2045</v>
      </c>
      <c r="D45" s="484">
        <f>IF(F44+SUM(E$17:E44)=D$10,F44,D$10-SUM(E$17:E44))</f>
        <v>131834.17391304375</v>
      </c>
      <c r="E45" s="485">
        <f t="shared" si="6"/>
        <v>7352.7111111111108</v>
      </c>
      <c r="F45" s="486">
        <f t="shared" si="7"/>
        <v>124481.46280193263</v>
      </c>
      <c r="G45" s="487">
        <f t="shared" si="8"/>
        <v>24697.002020222935</v>
      </c>
      <c r="H45" s="456">
        <f t="shared" si="9"/>
        <v>24697.002020222935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2046</v>
      </c>
      <c r="D46" s="484">
        <f>IF(F45+SUM(E$17:E45)=D$10,F45,D$10-SUM(E$17:E45))</f>
        <v>124481.46280193263</v>
      </c>
      <c r="E46" s="485">
        <f t="shared" si="6"/>
        <v>7352.7111111111108</v>
      </c>
      <c r="F46" s="486">
        <f t="shared" si="7"/>
        <v>117128.75169082152</v>
      </c>
      <c r="G46" s="487">
        <f t="shared" si="8"/>
        <v>23701.919846414075</v>
      </c>
      <c r="H46" s="456">
        <f t="shared" si="9"/>
        <v>23701.919846414075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2047</v>
      </c>
      <c r="D47" s="484">
        <f>IF(F46+SUM(E$17:E46)=D$10,F46,D$10-SUM(E$17:E46))</f>
        <v>117128.75169082152</v>
      </c>
      <c r="E47" s="485">
        <f t="shared" si="6"/>
        <v>7352.7111111111108</v>
      </c>
      <c r="F47" s="486">
        <f t="shared" si="7"/>
        <v>109776.0405797104</v>
      </c>
      <c r="G47" s="487">
        <f t="shared" si="8"/>
        <v>22706.837672605219</v>
      </c>
      <c r="H47" s="456">
        <f t="shared" si="9"/>
        <v>22706.837672605219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2048</v>
      </c>
      <c r="D48" s="484">
        <f>IF(F47+SUM(E$17:E47)=D$10,F47,D$10-SUM(E$17:E47))</f>
        <v>109776.0405797104</v>
      </c>
      <c r="E48" s="485">
        <f t="shared" si="6"/>
        <v>7352.7111111111108</v>
      </c>
      <c r="F48" s="486">
        <f t="shared" si="7"/>
        <v>102423.32946859929</v>
      </c>
      <c r="G48" s="487">
        <f t="shared" si="8"/>
        <v>21711.755498796359</v>
      </c>
      <c r="H48" s="456">
        <f t="shared" si="9"/>
        <v>21711.755498796359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2049</v>
      </c>
      <c r="D49" s="484">
        <f>IF(F48+SUM(E$17:E48)=D$10,F48,D$10-SUM(E$17:E48))</f>
        <v>102423.32946859929</v>
      </c>
      <c r="E49" s="485">
        <f t="shared" si="6"/>
        <v>7352.7111111111108</v>
      </c>
      <c r="F49" s="486">
        <f t="shared" si="7"/>
        <v>95070.618357488172</v>
      </c>
      <c r="G49" s="487">
        <f t="shared" si="8"/>
        <v>20716.673324987503</v>
      </c>
      <c r="H49" s="456">
        <f t="shared" si="9"/>
        <v>20716.673324987503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2050</v>
      </c>
      <c r="D50" s="484">
        <f>IF(F49+SUM(E$17:E49)=D$10,F49,D$10-SUM(E$17:E49))</f>
        <v>95070.618357488172</v>
      </c>
      <c r="E50" s="485">
        <f t="shared" si="6"/>
        <v>7352.7111111111108</v>
      </c>
      <c r="F50" s="486">
        <f t="shared" si="7"/>
        <v>87717.907246377057</v>
      </c>
      <c r="G50" s="487">
        <f t="shared" si="8"/>
        <v>19721.591151178647</v>
      </c>
      <c r="H50" s="456">
        <f t="shared" si="9"/>
        <v>19721.591151178647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2051</v>
      </c>
      <c r="D51" s="484">
        <f>IF(F50+SUM(E$17:E50)=D$10,F50,D$10-SUM(E$17:E50))</f>
        <v>87717.907246377057</v>
      </c>
      <c r="E51" s="485">
        <f t="shared" si="6"/>
        <v>7352.7111111111108</v>
      </c>
      <c r="F51" s="486">
        <f t="shared" si="7"/>
        <v>80365.196135265942</v>
      </c>
      <c r="G51" s="487">
        <f t="shared" si="8"/>
        <v>18726.508977369791</v>
      </c>
      <c r="H51" s="456">
        <f t="shared" si="9"/>
        <v>18726.508977369791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2052</v>
      </c>
      <c r="D52" s="484">
        <f>IF(F51+SUM(E$17:E51)=D$10,F51,D$10-SUM(E$17:E51))</f>
        <v>80365.196135265942</v>
      </c>
      <c r="E52" s="485">
        <f t="shared" si="6"/>
        <v>7352.7111111111108</v>
      </c>
      <c r="F52" s="486">
        <f t="shared" si="7"/>
        <v>73012.485024154827</v>
      </c>
      <c r="G52" s="487">
        <f t="shared" si="8"/>
        <v>17731.426803560931</v>
      </c>
      <c r="H52" s="456">
        <f t="shared" si="9"/>
        <v>17731.426803560931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2053</v>
      </c>
      <c r="D53" s="484">
        <f>IF(F52+SUM(E$17:E52)=D$10,F52,D$10-SUM(E$17:E52))</f>
        <v>73012.485024154827</v>
      </c>
      <c r="E53" s="485">
        <f t="shared" si="6"/>
        <v>7352.7111111111108</v>
      </c>
      <c r="F53" s="486">
        <f t="shared" si="7"/>
        <v>65659.773913043711</v>
      </c>
      <c r="G53" s="487">
        <f t="shared" si="8"/>
        <v>16736.344629752075</v>
      </c>
      <c r="H53" s="456">
        <f t="shared" si="9"/>
        <v>16736.344629752075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2054</v>
      </c>
      <c r="D54" s="484">
        <f>IF(F53+SUM(E$17:E53)=D$10,F53,D$10-SUM(E$17:E53))</f>
        <v>65659.773913043711</v>
      </c>
      <c r="E54" s="485">
        <f t="shared" si="6"/>
        <v>7352.7111111111108</v>
      </c>
      <c r="F54" s="486">
        <f t="shared" si="7"/>
        <v>58307.062801932603</v>
      </c>
      <c r="G54" s="487">
        <f t="shared" si="8"/>
        <v>15741.262455943219</v>
      </c>
      <c r="H54" s="456">
        <f t="shared" si="9"/>
        <v>15741.262455943219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2055</v>
      </c>
      <c r="D55" s="484">
        <f>IF(F54+SUM(E$17:E54)=D$10,F54,D$10-SUM(E$17:E54))</f>
        <v>58307.062801932603</v>
      </c>
      <c r="E55" s="485">
        <f t="shared" si="6"/>
        <v>7352.7111111111108</v>
      </c>
      <c r="F55" s="486">
        <f t="shared" si="7"/>
        <v>50954.351690821495</v>
      </c>
      <c r="G55" s="487">
        <f t="shared" si="8"/>
        <v>14746.180282134363</v>
      </c>
      <c r="H55" s="456">
        <f t="shared" si="9"/>
        <v>14746.180282134363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2056</v>
      </c>
      <c r="D56" s="484">
        <f>IF(F55+SUM(E$17:E55)=D$10,F55,D$10-SUM(E$17:E55))</f>
        <v>50954.351690821495</v>
      </c>
      <c r="E56" s="485">
        <f t="shared" si="6"/>
        <v>7352.7111111111108</v>
      </c>
      <c r="F56" s="486">
        <f t="shared" si="7"/>
        <v>43601.640579710387</v>
      </c>
      <c r="G56" s="487">
        <f t="shared" si="8"/>
        <v>13751.098108325506</v>
      </c>
      <c r="H56" s="456">
        <f t="shared" si="9"/>
        <v>13751.098108325506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2057</v>
      </c>
      <c r="D57" s="484">
        <f>IF(F56+SUM(E$17:E56)=D$10,F56,D$10-SUM(E$17:E56))</f>
        <v>43601.640579710387</v>
      </c>
      <c r="E57" s="485">
        <f t="shared" si="6"/>
        <v>7352.7111111111108</v>
      </c>
      <c r="F57" s="486">
        <f t="shared" si="7"/>
        <v>36248.929468599279</v>
      </c>
      <c r="G57" s="487">
        <f t="shared" si="8"/>
        <v>12756.01593451665</v>
      </c>
      <c r="H57" s="456">
        <f t="shared" si="9"/>
        <v>12756.01593451665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2058</v>
      </c>
      <c r="D58" s="484">
        <f>IF(F57+SUM(E$17:E57)=D$10,F57,D$10-SUM(E$17:E57))</f>
        <v>36248.929468599279</v>
      </c>
      <c r="E58" s="485">
        <f t="shared" si="6"/>
        <v>7352.7111111111108</v>
      </c>
      <c r="F58" s="486">
        <f t="shared" si="7"/>
        <v>28896.218357488167</v>
      </c>
      <c r="G58" s="487">
        <f t="shared" si="8"/>
        <v>11760.933760707794</v>
      </c>
      <c r="H58" s="456">
        <f t="shared" si="9"/>
        <v>11760.933760707794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2059</v>
      </c>
      <c r="D59" s="484">
        <f>IF(F58+SUM(E$17:E58)=D$10,F58,D$10-SUM(E$17:E58))</f>
        <v>28896.218357488167</v>
      </c>
      <c r="E59" s="485">
        <f t="shared" si="6"/>
        <v>7352.7111111111108</v>
      </c>
      <c r="F59" s="486">
        <f t="shared" si="7"/>
        <v>21543.507246377056</v>
      </c>
      <c r="G59" s="487">
        <f t="shared" si="8"/>
        <v>10765.851586898938</v>
      </c>
      <c r="H59" s="456">
        <f t="shared" si="9"/>
        <v>10765.851586898938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2060</v>
      </c>
      <c r="D60" s="484">
        <f>IF(F59+SUM(E$17:E59)=D$10,F59,D$10-SUM(E$17:E59))</f>
        <v>21543.507246377056</v>
      </c>
      <c r="E60" s="485">
        <f t="shared" si="6"/>
        <v>7352.7111111111108</v>
      </c>
      <c r="F60" s="486">
        <f t="shared" si="7"/>
        <v>14190.796135265944</v>
      </c>
      <c r="G60" s="487">
        <f t="shared" si="8"/>
        <v>9770.7694130900818</v>
      </c>
      <c r="H60" s="456">
        <f t="shared" si="9"/>
        <v>9770.7694130900818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2061</v>
      </c>
      <c r="D61" s="484">
        <f>IF(F60+SUM(E$17:E60)=D$10,F60,D$10-SUM(E$17:E60))</f>
        <v>14190.796135265944</v>
      </c>
      <c r="E61" s="485">
        <f t="shared" si="6"/>
        <v>7352.7111111111108</v>
      </c>
      <c r="F61" s="486">
        <f t="shared" si="7"/>
        <v>6838.0850241548333</v>
      </c>
      <c r="G61" s="487">
        <f t="shared" si="8"/>
        <v>8775.6872392812256</v>
      </c>
      <c r="H61" s="456">
        <f t="shared" si="9"/>
        <v>8775.6872392812256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2062</v>
      </c>
      <c r="D62" s="484">
        <f>IF(F61+SUM(E$17:E61)=D$10,F61,D$10-SUM(E$17:E61))</f>
        <v>6838.0850241548333</v>
      </c>
      <c r="E62" s="485">
        <f t="shared" si="6"/>
        <v>6838.0850241548333</v>
      </c>
      <c r="F62" s="486">
        <f t="shared" si="7"/>
        <v>0</v>
      </c>
      <c r="G62" s="487">
        <f t="shared" si="8"/>
        <v>7300.8025447876762</v>
      </c>
      <c r="H62" s="456">
        <f t="shared" si="9"/>
        <v>7300.8025447876762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2063</v>
      </c>
      <c r="D63" s="484">
        <f>IF(F62+SUM(E$17:E62)=D$10,F62,D$10-SUM(E$17:E62))</f>
        <v>0</v>
      </c>
      <c r="E63" s="485">
        <f t="shared" si="6"/>
        <v>0</v>
      </c>
      <c r="F63" s="486">
        <f t="shared" si="7"/>
        <v>0</v>
      </c>
      <c r="G63" s="487">
        <f t="shared" si="8"/>
        <v>0</v>
      </c>
      <c r="H63" s="456">
        <f t="shared" si="9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2064</v>
      </c>
      <c r="D64" s="484">
        <f>IF(F63+SUM(E$17:E63)=D$10,F63,D$10-SUM(E$17:E63))</f>
        <v>0</v>
      </c>
      <c r="E64" s="485">
        <f t="shared" si="6"/>
        <v>0</v>
      </c>
      <c r="F64" s="486">
        <f t="shared" si="7"/>
        <v>0</v>
      </c>
      <c r="G64" s="487">
        <f t="shared" si="8"/>
        <v>0</v>
      </c>
      <c r="H64" s="456">
        <f t="shared" si="9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2065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2066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2067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2068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2069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2070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2071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2072</v>
      </c>
      <c r="D72" s="613">
        <f>IF(F71+SUM(E$17:E71)=D$10,F71,D$10-SUM(E$17:E71))</f>
        <v>0</v>
      </c>
      <c r="E72" s="492">
        <f t="shared" si="6"/>
        <v>0</v>
      </c>
      <c r="F72" s="491">
        <f t="shared" si="7"/>
        <v>0</v>
      </c>
      <c r="G72" s="545">
        <f t="shared" si="8"/>
        <v>0</v>
      </c>
      <c r="H72" s="436">
        <f t="shared" si="9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330872.00000000006</v>
      </c>
      <c r="F73" s="348"/>
      <c r="G73" s="348">
        <f>SUM(G17:G72)</f>
        <v>1322962.8560059576</v>
      </c>
      <c r="H73" s="348">
        <f>SUM(H17:H72)</f>
        <v>1322962.8560059576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21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34470.293545069071</v>
      </c>
      <c r="N87" s="509">
        <f>IF(J92&lt;D11,0,VLOOKUP(J92,C17:O72,11))</f>
        <v>34470.293545069071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40607.321587664657</v>
      </c>
      <c r="N88" s="513">
        <f>IF(J92&lt;D11,0,VLOOKUP(J92,C99:P154,7))</f>
        <v>40607.321587664657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Darlington-Roman Nose 138 kV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6137.0280425955862</v>
      </c>
      <c r="N89" s="518">
        <f>+N88-N87</f>
        <v>6137.0280425955862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TP2015027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330872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8070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2017</v>
      </c>
      <c r="D99" s="585">
        <v>0</v>
      </c>
      <c r="E99" s="609">
        <v>3596</v>
      </c>
      <c r="F99" s="585">
        <v>327228</v>
      </c>
      <c r="G99" s="609">
        <v>163614</v>
      </c>
      <c r="H99" s="588">
        <v>24350.848452847567</v>
      </c>
      <c r="I99" s="608">
        <v>24350.848452847567</v>
      </c>
      <c r="J99" s="479">
        <f t="shared" ref="J99:J130" si="10">+I99-H99</f>
        <v>0</v>
      </c>
      <c r="K99" s="479"/>
      <c r="L99" s="478">
        <f>+H99</f>
        <v>24350.848452847567</v>
      </c>
      <c r="M99" s="478">
        <f t="shared" ref="M99:M130" si="11">IF(L99&lt;&gt;0,+H99-L99,0)</f>
        <v>0</v>
      </c>
      <c r="N99" s="478">
        <f>+I99</f>
        <v>24350.848452847567</v>
      </c>
      <c r="O99" s="478">
        <f t="shared" ref="O99:O130" si="12">IF(N99&lt;&gt;0,+I99-N99,0)</f>
        <v>0</v>
      </c>
      <c r="P99" s="478">
        <f t="shared" ref="P99:P130" si="13">+O99-M99</f>
        <v>0</v>
      </c>
    </row>
    <row r="100" spans="1:16" ht="12.5">
      <c r="B100" s="160" t="str">
        <f>IF(D100=F99,"","IU")</f>
        <v/>
      </c>
      <c r="C100" s="473">
        <f>IF(D93="","-",+C99+1)</f>
        <v>2018</v>
      </c>
      <c r="D100" s="579">
        <v>327228</v>
      </c>
      <c r="E100" s="580">
        <v>7694</v>
      </c>
      <c r="F100" s="579">
        <v>319534</v>
      </c>
      <c r="G100" s="580">
        <v>323381</v>
      </c>
      <c r="H100" s="603">
        <v>40916.73033605556</v>
      </c>
      <c r="I100" s="579">
        <v>40916.73033605556</v>
      </c>
      <c r="J100" s="479">
        <f t="shared" si="10"/>
        <v>0</v>
      </c>
      <c r="K100" s="479"/>
      <c r="L100" s="477">
        <f>H100</f>
        <v>40916.73033605556</v>
      </c>
      <c r="M100" s="349">
        <f>IF(L100&lt;&gt;0,+H100-L100,0)</f>
        <v>0</v>
      </c>
      <c r="N100" s="477">
        <f>I100</f>
        <v>40916.73033605556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4">IF(D101=F100,"","IU")</f>
        <v>IU</v>
      </c>
      <c r="C101" s="473">
        <f>IF(D93="","-",+C100+1)</f>
        <v>2019</v>
      </c>
      <c r="D101" s="347">
        <f>IF(F100+SUM(E$99:E100)=D$92,F100,D$92-SUM(E$99:E100))</f>
        <v>319582</v>
      </c>
      <c r="E101" s="485">
        <f t="shared" ref="E101:E154" si="15">IF(+J$96&lt;F100,J$96,D101)</f>
        <v>8070</v>
      </c>
      <c r="F101" s="486">
        <f t="shared" ref="F101:F154" si="16">+D101-E101</f>
        <v>311512</v>
      </c>
      <c r="G101" s="486">
        <f t="shared" ref="G101:G154" si="17">+(F101+D101)/2</f>
        <v>315547</v>
      </c>
      <c r="H101" s="614">
        <f t="shared" ref="H101:H154" si="18">+J$94*G101+E101</f>
        <v>40607.321587664657</v>
      </c>
      <c r="I101" s="615">
        <f t="shared" ref="I101:I154" si="19">+J$95*G101+E101</f>
        <v>40607.321587664657</v>
      </c>
      <c r="J101" s="479">
        <f t="shared" si="10"/>
        <v>0</v>
      </c>
      <c r="K101" s="479"/>
      <c r="L101" s="488"/>
      <c r="M101" s="479">
        <f t="shared" si="11"/>
        <v>0</v>
      </c>
      <c r="N101" s="488"/>
      <c r="O101" s="479">
        <f t="shared" si="12"/>
        <v>0</v>
      </c>
      <c r="P101" s="479">
        <f t="shared" si="13"/>
        <v>0</v>
      </c>
    </row>
    <row r="102" spans="1:16" ht="12.5">
      <c r="B102" s="160" t="str">
        <f t="shared" si="14"/>
        <v/>
      </c>
      <c r="C102" s="473">
        <f>IF(D93="","-",+C101+1)</f>
        <v>2020</v>
      </c>
      <c r="D102" s="347">
        <f>IF(F101+SUM(E$99:E101)=D$92,F101,D$92-SUM(E$99:E101))</f>
        <v>311512</v>
      </c>
      <c r="E102" s="485">
        <f t="shared" si="15"/>
        <v>8070</v>
      </c>
      <c r="F102" s="486">
        <f t="shared" si="16"/>
        <v>303442</v>
      </c>
      <c r="G102" s="486">
        <f t="shared" si="17"/>
        <v>307477</v>
      </c>
      <c r="H102" s="614">
        <f t="shared" si="18"/>
        <v>39775.191397193965</v>
      </c>
      <c r="I102" s="615">
        <f t="shared" si="19"/>
        <v>39775.191397193965</v>
      </c>
      <c r="J102" s="479">
        <f t="shared" si="10"/>
        <v>0</v>
      </c>
      <c r="K102" s="479"/>
      <c r="L102" s="488"/>
      <c r="M102" s="479">
        <f t="shared" si="11"/>
        <v>0</v>
      </c>
      <c r="N102" s="488"/>
      <c r="O102" s="479">
        <f t="shared" si="12"/>
        <v>0</v>
      </c>
      <c r="P102" s="479">
        <f t="shared" si="13"/>
        <v>0</v>
      </c>
    </row>
    <row r="103" spans="1:16" ht="12.5">
      <c r="B103" s="160" t="str">
        <f t="shared" si="14"/>
        <v/>
      </c>
      <c r="C103" s="473">
        <f>IF(D93="","-",+C102+1)</f>
        <v>2021</v>
      </c>
      <c r="D103" s="347">
        <f>IF(F102+SUM(E$99:E102)=D$92,F102,D$92-SUM(E$99:E102))</f>
        <v>303442</v>
      </c>
      <c r="E103" s="485">
        <f t="shared" si="15"/>
        <v>8070</v>
      </c>
      <c r="F103" s="486">
        <f t="shared" si="16"/>
        <v>295372</v>
      </c>
      <c r="G103" s="486">
        <f t="shared" si="17"/>
        <v>299407</v>
      </c>
      <c r="H103" s="614">
        <f t="shared" si="18"/>
        <v>38943.061206723287</v>
      </c>
      <c r="I103" s="615">
        <f t="shared" si="19"/>
        <v>38943.061206723287</v>
      </c>
      <c r="J103" s="479">
        <f t="shared" si="10"/>
        <v>0</v>
      </c>
      <c r="K103" s="479"/>
      <c r="L103" s="488"/>
      <c r="M103" s="479">
        <f t="shared" si="11"/>
        <v>0</v>
      </c>
      <c r="N103" s="488"/>
      <c r="O103" s="479">
        <f t="shared" si="12"/>
        <v>0</v>
      </c>
      <c r="P103" s="479">
        <f t="shared" si="13"/>
        <v>0</v>
      </c>
    </row>
    <row r="104" spans="1:16" ht="12.5">
      <c r="B104" s="160" t="str">
        <f t="shared" si="14"/>
        <v/>
      </c>
      <c r="C104" s="473">
        <f>IF(D93="","-",+C103+1)</f>
        <v>2022</v>
      </c>
      <c r="D104" s="347">
        <f>IF(F103+SUM(E$99:E103)=D$92,F103,D$92-SUM(E$99:E103))</f>
        <v>295372</v>
      </c>
      <c r="E104" s="485">
        <f t="shared" si="15"/>
        <v>8070</v>
      </c>
      <c r="F104" s="486">
        <f t="shared" si="16"/>
        <v>287302</v>
      </c>
      <c r="G104" s="486">
        <f t="shared" si="17"/>
        <v>291337</v>
      </c>
      <c r="H104" s="614">
        <f t="shared" si="18"/>
        <v>38110.931016252594</v>
      </c>
      <c r="I104" s="615">
        <f t="shared" si="19"/>
        <v>38110.931016252594</v>
      </c>
      <c r="J104" s="479">
        <f t="shared" si="10"/>
        <v>0</v>
      </c>
      <c r="K104" s="479"/>
      <c r="L104" s="488"/>
      <c r="M104" s="479">
        <f t="shared" si="11"/>
        <v>0</v>
      </c>
      <c r="N104" s="488"/>
      <c r="O104" s="479">
        <f t="shared" si="12"/>
        <v>0</v>
      </c>
      <c r="P104" s="479">
        <f t="shared" si="13"/>
        <v>0</v>
      </c>
    </row>
    <row r="105" spans="1:16" ht="12.5">
      <c r="B105" s="160" t="str">
        <f t="shared" si="14"/>
        <v/>
      </c>
      <c r="C105" s="473">
        <f>IF(D93="","-",+C104+1)</f>
        <v>2023</v>
      </c>
      <c r="D105" s="347">
        <f>IF(F104+SUM(E$99:E104)=D$92,F104,D$92-SUM(E$99:E104))</f>
        <v>287302</v>
      </c>
      <c r="E105" s="485">
        <f t="shared" si="15"/>
        <v>8070</v>
      </c>
      <c r="F105" s="486">
        <f t="shared" si="16"/>
        <v>279232</v>
      </c>
      <c r="G105" s="486">
        <f t="shared" si="17"/>
        <v>283267</v>
      </c>
      <c r="H105" s="614">
        <f t="shared" si="18"/>
        <v>37278.800825781909</v>
      </c>
      <c r="I105" s="615">
        <f t="shared" si="19"/>
        <v>37278.800825781909</v>
      </c>
      <c r="J105" s="479">
        <f t="shared" si="10"/>
        <v>0</v>
      </c>
      <c r="K105" s="479"/>
      <c r="L105" s="488"/>
      <c r="M105" s="479">
        <f t="shared" si="11"/>
        <v>0</v>
      </c>
      <c r="N105" s="488"/>
      <c r="O105" s="479">
        <f t="shared" si="12"/>
        <v>0</v>
      </c>
      <c r="P105" s="479">
        <f t="shared" si="13"/>
        <v>0</v>
      </c>
    </row>
    <row r="106" spans="1:16" ht="12.5">
      <c r="B106" s="160" t="str">
        <f t="shared" si="14"/>
        <v/>
      </c>
      <c r="C106" s="473">
        <f>IF(D93="","-",+C105+1)</f>
        <v>2024</v>
      </c>
      <c r="D106" s="347">
        <f>IF(F105+SUM(E$99:E105)=D$92,F105,D$92-SUM(E$99:E105))</f>
        <v>279232</v>
      </c>
      <c r="E106" s="485">
        <f t="shared" si="15"/>
        <v>8070</v>
      </c>
      <c r="F106" s="486">
        <f t="shared" si="16"/>
        <v>271162</v>
      </c>
      <c r="G106" s="486">
        <f t="shared" si="17"/>
        <v>275197</v>
      </c>
      <c r="H106" s="614">
        <f t="shared" si="18"/>
        <v>36446.670635311224</v>
      </c>
      <c r="I106" s="615">
        <f t="shared" si="19"/>
        <v>36446.670635311224</v>
      </c>
      <c r="J106" s="479">
        <f t="shared" si="10"/>
        <v>0</v>
      </c>
      <c r="K106" s="479"/>
      <c r="L106" s="488"/>
      <c r="M106" s="479">
        <f t="shared" si="11"/>
        <v>0</v>
      </c>
      <c r="N106" s="488"/>
      <c r="O106" s="479">
        <f t="shared" si="12"/>
        <v>0</v>
      </c>
      <c r="P106" s="479">
        <f t="shared" si="13"/>
        <v>0</v>
      </c>
    </row>
    <row r="107" spans="1:16" ht="12.5">
      <c r="B107" s="160" t="str">
        <f t="shared" si="14"/>
        <v/>
      </c>
      <c r="C107" s="473">
        <f>IF(D93="","-",+C106+1)</f>
        <v>2025</v>
      </c>
      <c r="D107" s="347">
        <f>IF(F106+SUM(E$99:E106)=D$92,F106,D$92-SUM(E$99:E106))</f>
        <v>271162</v>
      </c>
      <c r="E107" s="485">
        <f t="shared" si="15"/>
        <v>8070</v>
      </c>
      <c r="F107" s="486">
        <f t="shared" si="16"/>
        <v>263092</v>
      </c>
      <c r="G107" s="486">
        <f t="shared" si="17"/>
        <v>267127</v>
      </c>
      <c r="H107" s="614">
        <f t="shared" si="18"/>
        <v>35614.540444840532</v>
      </c>
      <c r="I107" s="615">
        <f t="shared" si="19"/>
        <v>35614.540444840532</v>
      </c>
      <c r="J107" s="479">
        <f t="shared" si="10"/>
        <v>0</v>
      </c>
      <c r="K107" s="479"/>
      <c r="L107" s="488"/>
      <c r="M107" s="479">
        <f t="shared" si="11"/>
        <v>0</v>
      </c>
      <c r="N107" s="488"/>
      <c r="O107" s="479">
        <f t="shared" si="12"/>
        <v>0</v>
      </c>
      <c r="P107" s="479">
        <f t="shared" si="13"/>
        <v>0</v>
      </c>
    </row>
    <row r="108" spans="1:16" ht="12.5">
      <c r="B108" s="160" t="str">
        <f t="shared" si="14"/>
        <v/>
      </c>
      <c r="C108" s="473">
        <f>IF(D93="","-",+C107+1)</f>
        <v>2026</v>
      </c>
      <c r="D108" s="347">
        <f>IF(F107+SUM(E$99:E107)=D$92,F107,D$92-SUM(E$99:E107))</f>
        <v>263092</v>
      </c>
      <c r="E108" s="485">
        <f t="shared" si="15"/>
        <v>8070</v>
      </c>
      <c r="F108" s="486">
        <f t="shared" si="16"/>
        <v>255022</v>
      </c>
      <c r="G108" s="486">
        <f t="shared" si="17"/>
        <v>259057</v>
      </c>
      <c r="H108" s="614">
        <f t="shared" si="18"/>
        <v>34782.410254369854</v>
      </c>
      <c r="I108" s="615">
        <f t="shared" si="19"/>
        <v>34782.410254369854</v>
      </c>
      <c r="J108" s="479">
        <f t="shared" si="10"/>
        <v>0</v>
      </c>
      <c r="K108" s="479"/>
      <c r="L108" s="488"/>
      <c r="M108" s="479">
        <f t="shared" si="11"/>
        <v>0</v>
      </c>
      <c r="N108" s="488"/>
      <c r="O108" s="479">
        <f t="shared" si="12"/>
        <v>0</v>
      </c>
      <c r="P108" s="479">
        <f t="shared" si="13"/>
        <v>0</v>
      </c>
    </row>
    <row r="109" spans="1:16" ht="12.5">
      <c r="B109" s="160" t="str">
        <f t="shared" si="14"/>
        <v/>
      </c>
      <c r="C109" s="473">
        <f>IF(D93="","-",+C108+1)</f>
        <v>2027</v>
      </c>
      <c r="D109" s="347">
        <f>IF(F108+SUM(E$99:E108)=D$92,F108,D$92-SUM(E$99:E108))</f>
        <v>255022</v>
      </c>
      <c r="E109" s="485">
        <f t="shared" si="15"/>
        <v>8070</v>
      </c>
      <c r="F109" s="486">
        <f t="shared" si="16"/>
        <v>246952</v>
      </c>
      <c r="G109" s="486">
        <f t="shared" si="17"/>
        <v>250987</v>
      </c>
      <c r="H109" s="614">
        <f t="shared" si="18"/>
        <v>33950.280063899161</v>
      </c>
      <c r="I109" s="615">
        <f t="shared" si="19"/>
        <v>33950.280063899161</v>
      </c>
      <c r="J109" s="479">
        <f t="shared" si="10"/>
        <v>0</v>
      </c>
      <c r="K109" s="479"/>
      <c r="L109" s="488"/>
      <c r="M109" s="479">
        <f t="shared" si="11"/>
        <v>0</v>
      </c>
      <c r="N109" s="488"/>
      <c r="O109" s="479">
        <f t="shared" si="12"/>
        <v>0</v>
      </c>
      <c r="P109" s="479">
        <f t="shared" si="13"/>
        <v>0</v>
      </c>
    </row>
    <row r="110" spans="1:16" ht="12.5">
      <c r="B110" s="160" t="str">
        <f t="shared" si="14"/>
        <v/>
      </c>
      <c r="C110" s="473">
        <f>IF(D93="","-",+C109+1)</f>
        <v>2028</v>
      </c>
      <c r="D110" s="347">
        <f>IF(F109+SUM(E$99:E109)=D$92,F109,D$92-SUM(E$99:E109))</f>
        <v>246952</v>
      </c>
      <c r="E110" s="485">
        <f t="shared" si="15"/>
        <v>8070</v>
      </c>
      <c r="F110" s="486">
        <f t="shared" si="16"/>
        <v>238882</v>
      </c>
      <c r="G110" s="486">
        <f t="shared" si="17"/>
        <v>242917</v>
      </c>
      <c r="H110" s="614">
        <f t="shared" si="18"/>
        <v>33118.149873428476</v>
      </c>
      <c r="I110" s="615">
        <f t="shared" si="19"/>
        <v>33118.149873428476</v>
      </c>
      <c r="J110" s="479">
        <f t="shared" si="10"/>
        <v>0</v>
      </c>
      <c r="K110" s="479"/>
      <c r="L110" s="488"/>
      <c r="M110" s="479">
        <f t="shared" si="11"/>
        <v>0</v>
      </c>
      <c r="N110" s="488"/>
      <c r="O110" s="479">
        <f t="shared" si="12"/>
        <v>0</v>
      </c>
      <c r="P110" s="479">
        <f t="shared" si="13"/>
        <v>0</v>
      </c>
    </row>
    <row r="111" spans="1:16" ht="12.5">
      <c r="B111" s="160" t="str">
        <f t="shared" si="14"/>
        <v/>
      </c>
      <c r="C111" s="473">
        <f>IF(D93="","-",+C110+1)</f>
        <v>2029</v>
      </c>
      <c r="D111" s="347">
        <f>IF(F110+SUM(E$99:E110)=D$92,F110,D$92-SUM(E$99:E110))</f>
        <v>238882</v>
      </c>
      <c r="E111" s="485">
        <f t="shared" si="15"/>
        <v>8070</v>
      </c>
      <c r="F111" s="486">
        <f t="shared" si="16"/>
        <v>230812</v>
      </c>
      <c r="G111" s="486">
        <f t="shared" si="17"/>
        <v>234847</v>
      </c>
      <c r="H111" s="614">
        <f t="shared" si="18"/>
        <v>32286.019682957787</v>
      </c>
      <c r="I111" s="615">
        <f t="shared" si="19"/>
        <v>32286.019682957787</v>
      </c>
      <c r="J111" s="479">
        <f t="shared" si="10"/>
        <v>0</v>
      </c>
      <c r="K111" s="479"/>
      <c r="L111" s="488"/>
      <c r="M111" s="479">
        <f t="shared" si="11"/>
        <v>0</v>
      </c>
      <c r="N111" s="488"/>
      <c r="O111" s="479">
        <f t="shared" si="12"/>
        <v>0</v>
      </c>
      <c r="P111" s="479">
        <f t="shared" si="13"/>
        <v>0</v>
      </c>
    </row>
    <row r="112" spans="1:16" ht="12.5">
      <c r="B112" s="160" t="str">
        <f t="shared" si="14"/>
        <v/>
      </c>
      <c r="C112" s="473">
        <f>IF(D93="","-",+C111+1)</f>
        <v>2030</v>
      </c>
      <c r="D112" s="347">
        <f>IF(F111+SUM(E$99:E111)=D$92,F111,D$92-SUM(E$99:E111))</f>
        <v>230812</v>
      </c>
      <c r="E112" s="485">
        <f t="shared" si="15"/>
        <v>8070</v>
      </c>
      <c r="F112" s="486">
        <f t="shared" si="16"/>
        <v>222742</v>
      </c>
      <c r="G112" s="486">
        <f t="shared" si="17"/>
        <v>226777</v>
      </c>
      <c r="H112" s="614">
        <f t="shared" si="18"/>
        <v>31453.889492487102</v>
      </c>
      <c r="I112" s="615">
        <f t="shared" si="19"/>
        <v>31453.889492487102</v>
      </c>
      <c r="J112" s="479">
        <f t="shared" si="10"/>
        <v>0</v>
      </c>
      <c r="K112" s="479"/>
      <c r="L112" s="488"/>
      <c r="M112" s="479">
        <f t="shared" si="11"/>
        <v>0</v>
      </c>
      <c r="N112" s="488"/>
      <c r="O112" s="479">
        <f t="shared" si="12"/>
        <v>0</v>
      </c>
      <c r="P112" s="479">
        <f t="shared" si="13"/>
        <v>0</v>
      </c>
    </row>
    <row r="113" spans="2:16" ht="12.5">
      <c r="B113" s="160" t="str">
        <f t="shared" si="14"/>
        <v/>
      </c>
      <c r="C113" s="473">
        <f>IF(D93="","-",+C112+1)</f>
        <v>2031</v>
      </c>
      <c r="D113" s="347">
        <f>IF(F112+SUM(E$99:E112)=D$92,F112,D$92-SUM(E$99:E112))</f>
        <v>222742</v>
      </c>
      <c r="E113" s="485">
        <f t="shared" si="15"/>
        <v>8070</v>
      </c>
      <c r="F113" s="486">
        <f t="shared" si="16"/>
        <v>214672</v>
      </c>
      <c r="G113" s="486">
        <f t="shared" si="17"/>
        <v>218707</v>
      </c>
      <c r="H113" s="614">
        <f t="shared" si="18"/>
        <v>30621.759302016417</v>
      </c>
      <c r="I113" s="615">
        <f t="shared" si="19"/>
        <v>30621.759302016417</v>
      </c>
      <c r="J113" s="479">
        <f t="shared" si="10"/>
        <v>0</v>
      </c>
      <c r="K113" s="479"/>
      <c r="L113" s="488"/>
      <c r="M113" s="479">
        <f t="shared" si="11"/>
        <v>0</v>
      </c>
      <c r="N113" s="488"/>
      <c r="O113" s="479">
        <f t="shared" si="12"/>
        <v>0</v>
      </c>
      <c r="P113" s="479">
        <f t="shared" si="13"/>
        <v>0</v>
      </c>
    </row>
    <row r="114" spans="2:16" ht="12.5">
      <c r="B114" s="160" t="str">
        <f t="shared" si="14"/>
        <v/>
      </c>
      <c r="C114" s="473">
        <f>IF(D93="","-",+C113+1)</f>
        <v>2032</v>
      </c>
      <c r="D114" s="347">
        <f>IF(F113+SUM(E$99:E113)=D$92,F113,D$92-SUM(E$99:E113))</f>
        <v>214672</v>
      </c>
      <c r="E114" s="485">
        <f t="shared" si="15"/>
        <v>8070</v>
      </c>
      <c r="F114" s="486">
        <f t="shared" si="16"/>
        <v>206602</v>
      </c>
      <c r="G114" s="486">
        <f t="shared" si="17"/>
        <v>210637</v>
      </c>
      <c r="H114" s="614">
        <f t="shared" si="18"/>
        <v>29789.629111545728</v>
      </c>
      <c r="I114" s="615">
        <f t="shared" si="19"/>
        <v>29789.629111545728</v>
      </c>
      <c r="J114" s="479">
        <f t="shared" si="10"/>
        <v>0</v>
      </c>
      <c r="K114" s="479"/>
      <c r="L114" s="488"/>
      <c r="M114" s="479">
        <f t="shared" si="11"/>
        <v>0</v>
      </c>
      <c r="N114" s="488"/>
      <c r="O114" s="479">
        <f t="shared" si="12"/>
        <v>0</v>
      </c>
      <c r="P114" s="479">
        <f t="shared" si="13"/>
        <v>0</v>
      </c>
    </row>
    <row r="115" spans="2:16" ht="12.5">
      <c r="B115" s="160" t="str">
        <f t="shared" si="14"/>
        <v/>
      </c>
      <c r="C115" s="473">
        <f>IF(D93="","-",+C114+1)</f>
        <v>2033</v>
      </c>
      <c r="D115" s="347">
        <f>IF(F114+SUM(E$99:E114)=D$92,F114,D$92-SUM(E$99:E114))</f>
        <v>206602</v>
      </c>
      <c r="E115" s="485">
        <f t="shared" si="15"/>
        <v>8070</v>
      </c>
      <c r="F115" s="486">
        <f t="shared" si="16"/>
        <v>198532</v>
      </c>
      <c r="G115" s="486">
        <f t="shared" si="17"/>
        <v>202567</v>
      </c>
      <c r="H115" s="614">
        <f t="shared" si="18"/>
        <v>28957.498921075043</v>
      </c>
      <c r="I115" s="615">
        <f t="shared" si="19"/>
        <v>28957.498921075043</v>
      </c>
      <c r="J115" s="479">
        <f t="shared" si="10"/>
        <v>0</v>
      </c>
      <c r="K115" s="479"/>
      <c r="L115" s="488"/>
      <c r="M115" s="479">
        <f t="shared" si="11"/>
        <v>0</v>
      </c>
      <c r="N115" s="488"/>
      <c r="O115" s="479">
        <f t="shared" si="12"/>
        <v>0</v>
      </c>
      <c r="P115" s="479">
        <f t="shared" si="13"/>
        <v>0</v>
      </c>
    </row>
    <row r="116" spans="2:16" ht="12.5">
      <c r="B116" s="160" t="str">
        <f t="shared" si="14"/>
        <v/>
      </c>
      <c r="C116" s="473">
        <f>IF(D93="","-",+C115+1)</f>
        <v>2034</v>
      </c>
      <c r="D116" s="347">
        <f>IF(F115+SUM(E$99:E115)=D$92,F115,D$92-SUM(E$99:E115))</f>
        <v>198532</v>
      </c>
      <c r="E116" s="485">
        <f t="shared" si="15"/>
        <v>8070</v>
      </c>
      <c r="F116" s="486">
        <f t="shared" si="16"/>
        <v>190462</v>
      </c>
      <c r="G116" s="486">
        <f t="shared" si="17"/>
        <v>194497</v>
      </c>
      <c r="H116" s="614">
        <f t="shared" si="18"/>
        <v>28125.368730604354</v>
      </c>
      <c r="I116" s="615">
        <f t="shared" si="19"/>
        <v>28125.368730604354</v>
      </c>
      <c r="J116" s="479">
        <f t="shared" si="10"/>
        <v>0</v>
      </c>
      <c r="K116" s="479"/>
      <c r="L116" s="488"/>
      <c r="M116" s="479">
        <f t="shared" si="11"/>
        <v>0</v>
      </c>
      <c r="N116" s="488"/>
      <c r="O116" s="479">
        <f t="shared" si="12"/>
        <v>0</v>
      </c>
      <c r="P116" s="479">
        <f t="shared" si="13"/>
        <v>0</v>
      </c>
    </row>
    <row r="117" spans="2:16" ht="12.5">
      <c r="B117" s="160" t="str">
        <f t="shared" si="14"/>
        <v/>
      </c>
      <c r="C117" s="473">
        <f>IF(D93="","-",+C116+1)</f>
        <v>2035</v>
      </c>
      <c r="D117" s="347">
        <f>IF(F116+SUM(E$99:E116)=D$92,F116,D$92-SUM(E$99:E116))</f>
        <v>190462</v>
      </c>
      <c r="E117" s="485">
        <f t="shared" si="15"/>
        <v>8070</v>
      </c>
      <c r="F117" s="486">
        <f t="shared" si="16"/>
        <v>182392</v>
      </c>
      <c r="G117" s="486">
        <f t="shared" si="17"/>
        <v>186427</v>
      </c>
      <c r="H117" s="614">
        <f t="shared" si="18"/>
        <v>27293.238540133669</v>
      </c>
      <c r="I117" s="615">
        <f t="shared" si="19"/>
        <v>27293.238540133669</v>
      </c>
      <c r="J117" s="479">
        <f t="shared" si="10"/>
        <v>0</v>
      </c>
      <c r="K117" s="479"/>
      <c r="L117" s="488"/>
      <c r="M117" s="479">
        <f t="shared" si="11"/>
        <v>0</v>
      </c>
      <c r="N117" s="488"/>
      <c r="O117" s="479">
        <f t="shared" si="12"/>
        <v>0</v>
      </c>
      <c r="P117" s="479">
        <f t="shared" si="13"/>
        <v>0</v>
      </c>
    </row>
    <row r="118" spans="2:16" ht="12.5">
      <c r="B118" s="160" t="str">
        <f t="shared" si="14"/>
        <v/>
      </c>
      <c r="C118" s="473">
        <f>IF(D93="","-",+C117+1)</f>
        <v>2036</v>
      </c>
      <c r="D118" s="347">
        <f>IF(F117+SUM(E$99:E117)=D$92,F117,D$92-SUM(E$99:E117))</f>
        <v>182392</v>
      </c>
      <c r="E118" s="485">
        <f t="shared" si="15"/>
        <v>8070</v>
      </c>
      <c r="F118" s="486">
        <f t="shared" si="16"/>
        <v>174322</v>
      </c>
      <c r="G118" s="486">
        <f t="shared" si="17"/>
        <v>178357</v>
      </c>
      <c r="H118" s="614">
        <f t="shared" si="18"/>
        <v>26461.108349662984</v>
      </c>
      <c r="I118" s="615">
        <f t="shared" si="19"/>
        <v>26461.108349662984</v>
      </c>
      <c r="J118" s="479">
        <f t="shared" si="10"/>
        <v>0</v>
      </c>
      <c r="K118" s="479"/>
      <c r="L118" s="488"/>
      <c r="M118" s="479">
        <f t="shared" si="11"/>
        <v>0</v>
      </c>
      <c r="N118" s="488"/>
      <c r="O118" s="479">
        <f t="shared" si="12"/>
        <v>0</v>
      </c>
      <c r="P118" s="479">
        <f t="shared" si="13"/>
        <v>0</v>
      </c>
    </row>
    <row r="119" spans="2:16" ht="12.5">
      <c r="B119" s="160" t="str">
        <f t="shared" si="14"/>
        <v/>
      </c>
      <c r="C119" s="473">
        <f>IF(D93="","-",+C118+1)</f>
        <v>2037</v>
      </c>
      <c r="D119" s="347">
        <f>IF(F118+SUM(E$99:E118)=D$92,F118,D$92-SUM(E$99:E118))</f>
        <v>174322</v>
      </c>
      <c r="E119" s="485">
        <f t="shared" si="15"/>
        <v>8070</v>
      </c>
      <c r="F119" s="486">
        <f t="shared" si="16"/>
        <v>166252</v>
      </c>
      <c r="G119" s="486">
        <f t="shared" si="17"/>
        <v>170287</v>
      </c>
      <c r="H119" s="614">
        <f t="shared" si="18"/>
        <v>25628.978159192295</v>
      </c>
      <c r="I119" s="615">
        <f t="shared" si="19"/>
        <v>25628.978159192295</v>
      </c>
      <c r="J119" s="479">
        <f t="shared" si="10"/>
        <v>0</v>
      </c>
      <c r="K119" s="479"/>
      <c r="L119" s="488"/>
      <c r="M119" s="479">
        <f t="shared" si="11"/>
        <v>0</v>
      </c>
      <c r="N119" s="488"/>
      <c r="O119" s="479">
        <f t="shared" si="12"/>
        <v>0</v>
      </c>
      <c r="P119" s="479">
        <f t="shared" si="13"/>
        <v>0</v>
      </c>
    </row>
    <row r="120" spans="2:16" ht="12.5">
      <c r="B120" s="160" t="str">
        <f t="shared" si="14"/>
        <v/>
      </c>
      <c r="C120" s="473">
        <f>IF(D93="","-",+C119+1)</f>
        <v>2038</v>
      </c>
      <c r="D120" s="347">
        <f>IF(F119+SUM(E$99:E119)=D$92,F119,D$92-SUM(E$99:E119))</f>
        <v>166252</v>
      </c>
      <c r="E120" s="485">
        <f t="shared" si="15"/>
        <v>8070</v>
      </c>
      <c r="F120" s="486">
        <f t="shared" si="16"/>
        <v>158182</v>
      </c>
      <c r="G120" s="486">
        <f t="shared" si="17"/>
        <v>162217</v>
      </c>
      <c r="H120" s="614">
        <f t="shared" si="18"/>
        <v>24796.84796872161</v>
      </c>
      <c r="I120" s="615">
        <f t="shared" si="19"/>
        <v>24796.84796872161</v>
      </c>
      <c r="J120" s="479">
        <f t="shared" si="10"/>
        <v>0</v>
      </c>
      <c r="K120" s="479"/>
      <c r="L120" s="488"/>
      <c r="M120" s="479">
        <f t="shared" si="11"/>
        <v>0</v>
      </c>
      <c r="N120" s="488"/>
      <c r="O120" s="479">
        <f t="shared" si="12"/>
        <v>0</v>
      </c>
      <c r="P120" s="479">
        <f t="shared" si="13"/>
        <v>0</v>
      </c>
    </row>
    <row r="121" spans="2:16" ht="12.5">
      <c r="B121" s="160" t="str">
        <f t="shared" si="14"/>
        <v/>
      </c>
      <c r="C121" s="473">
        <f>IF(D93="","-",+C120+1)</f>
        <v>2039</v>
      </c>
      <c r="D121" s="347">
        <f>IF(F120+SUM(E$99:E120)=D$92,F120,D$92-SUM(E$99:E120))</f>
        <v>158182</v>
      </c>
      <c r="E121" s="485">
        <f t="shared" si="15"/>
        <v>8070</v>
      </c>
      <c r="F121" s="486">
        <f t="shared" si="16"/>
        <v>150112</v>
      </c>
      <c r="G121" s="486">
        <f t="shared" si="17"/>
        <v>154147</v>
      </c>
      <c r="H121" s="614">
        <f t="shared" si="18"/>
        <v>23964.717778250924</v>
      </c>
      <c r="I121" s="615">
        <f t="shared" si="19"/>
        <v>23964.717778250924</v>
      </c>
      <c r="J121" s="479">
        <f t="shared" si="10"/>
        <v>0</v>
      </c>
      <c r="K121" s="479"/>
      <c r="L121" s="488"/>
      <c r="M121" s="479">
        <f t="shared" si="11"/>
        <v>0</v>
      </c>
      <c r="N121" s="488"/>
      <c r="O121" s="479">
        <f t="shared" si="12"/>
        <v>0</v>
      </c>
      <c r="P121" s="479">
        <f t="shared" si="13"/>
        <v>0</v>
      </c>
    </row>
    <row r="122" spans="2:16" ht="12.5">
      <c r="B122" s="160" t="str">
        <f t="shared" si="14"/>
        <v/>
      </c>
      <c r="C122" s="473">
        <f>IF(D93="","-",+C121+1)</f>
        <v>2040</v>
      </c>
      <c r="D122" s="347">
        <f>IF(F121+SUM(E$99:E121)=D$92,F121,D$92-SUM(E$99:E121))</f>
        <v>150112</v>
      </c>
      <c r="E122" s="485">
        <f t="shared" si="15"/>
        <v>8070</v>
      </c>
      <c r="F122" s="486">
        <f t="shared" si="16"/>
        <v>142042</v>
      </c>
      <c r="G122" s="486">
        <f t="shared" si="17"/>
        <v>146077</v>
      </c>
      <c r="H122" s="614">
        <f t="shared" si="18"/>
        <v>23132.587587780235</v>
      </c>
      <c r="I122" s="615">
        <f t="shared" si="19"/>
        <v>23132.587587780235</v>
      </c>
      <c r="J122" s="479">
        <f t="shared" si="10"/>
        <v>0</v>
      </c>
      <c r="K122" s="479"/>
      <c r="L122" s="488"/>
      <c r="M122" s="479">
        <f t="shared" si="11"/>
        <v>0</v>
      </c>
      <c r="N122" s="488"/>
      <c r="O122" s="479">
        <f t="shared" si="12"/>
        <v>0</v>
      </c>
      <c r="P122" s="479">
        <f t="shared" si="13"/>
        <v>0</v>
      </c>
    </row>
    <row r="123" spans="2:16" ht="12.5">
      <c r="B123" s="160" t="str">
        <f t="shared" si="14"/>
        <v/>
      </c>
      <c r="C123" s="473">
        <f>IF(D93="","-",+C122+1)</f>
        <v>2041</v>
      </c>
      <c r="D123" s="347">
        <f>IF(F122+SUM(E$99:E122)=D$92,F122,D$92-SUM(E$99:E122))</f>
        <v>142042</v>
      </c>
      <c r="E123" s="485">
        <f t="shared" si="15"/>
        <v>8070</v>
      </c>
      <c r="F123" s="486">
        <f t="shared" si="16"/>
        <v>133972</v>
      </c>
      <c r="G123" s="486">
        <f t="shared" si="17"/>
        <v>138007</v>
      </c>
      <c r="H123" s="614">
        <f t="shared" si="18"/>
        <v>22300.457397309547</v>
      </c>
      <c r="I123" s="615">
        <f t="shared" si="19"/>
        <v>22300.457397309547</v>
      </c>
      <c r="J123" s="479">
        <f t="shared" si="10"/>
        <v>0</v>
      </c>
      <c r="K123" s="479"/>
      <c r="L123" s="488"/>
      <c r="M123" s="479">
        <f t="shared" si="11"/>
        <v>0</v>
      </c>
      <c r="N123" s="488"/>
      <c r="O123" s="479">
        <f t="shared" si="12"/>
        <v>0</v>
      </c>
      <c r="P123" s="479">
        <f t="shared" si="13"/>
        <v>0</v>
      </c>
    </row>
    <row r="124" spans="2:16" ht="12.5">
      <c r="B124" s="160" t="str">
        <f t="shared" si="14"/>
        <v/>
      </c>
      <c r="C124" s="473">
        <f>IF(D93="","-",+C123+1)</f>
        <v>2042</v>
      </c>
      <c r="D124" s="347">
        <f>IF(F123+SUM(E$99:E123)=D$92,F123,D$92-SUM(E$99:E123))</f>
        <v>133972</v>
      </c>
      <c r="E124" s="485">
        <f t="shared" si="15"/>
        <v>8070</v>
      </c>
      <c r="F124" s="486">
        <f t="shared" si="16"/>
        <v>125902</v>
      </c>
      <c r="G124" s="486">
        <f t="shared" si="17"/>
        <v>129937</v>
      </c>
      <c r="H124" s="614">
        <f t="shared" si="18"/>
        <v>21468.327206838861</v>
      </c>
      <c r="I124" s="615">
        <f t="shared" si="19"/>
        <v>21468.327206838861</v>
      </c>
      <c r="J124" s="479">
        <f t="shared" si="10"/>
        <v>0</v>
      </c>
      <c r="K124" s="479"/>
      <c r="L124" s="488"/>
      <c r="M124" s="479">
        <f t="shared" si="11"/>
        <v>0</v>
      </c>
      <c r="N124" s="488"/>
      <c r="O124" s="479">
        <f t="shared" si="12"/>
        <v>0</v>
      </c>
      <c r="P124" s="479">
        <f t="shared" si="13"/>
        <v>0</v>
      </c>
    </row>
    <row r="125" spans="2:16" ht="12.5">
      <c r="B125" s="160" t="str">
        <f t="shared" si="14"/>
        <v/>
      </c>
      <c r="C125" s="473">
        <f>IF(D93="","-",+C124+1)</f>
        <v>2043</v>
      </c>
      <c r="D125" s="347">
        <f>IF(F124+SUM(E$99:E124)=D$92,F124,D$92-SUM(E$99:E124))</f>
        <v>125902</v>
      </c>
      <c r="E125" s="485">
        <f t="shared" si="15"/>
        <v>8070</v>
      </c>
      <c r="F125" s="486">
        <f t="shared" si="16"/>
        <v>117832</v>
      </c>
      <c r="G125" s="486">
        <f t="shared" si="17"/>
        <v>121867</v>
      </c>
      <c r="H125" s="614">
        <f t="shared" si="18"/>
        <v>20636.197016368176</v>
      </c>
      <c r="I125" s="615">
        <f t="shared" si="19"/>
        <v>20636.197016368176</v>
      </c>
      <c r="J125" s="479">
        <f t="shared" si="10"/>
        <v>0</v>
      </c>
      <c r="K125" s="479"/>
      <c r="L125" s="488"/>
      <c r="M125" s="479">
        <f t="shared" si="11"/>
        <v>0</v>
      </c>
      <c r="N125" s="488"/>
      <c r="O125" s="479">
        <f t="shared" si="12"/>
        <v>0</v>
      </c>
      <c r="P125" s="479">
        <f t="shared" si="13"/>
        <v>0</v>
      </c>
    </row>
    <row r="126" spans="2:16" ht="12.5">
      <c r="B126" s="160" t="str">
        <f t="shared" si="14"/>
        <v/>
      </c>
      <c r="C126" s="473">
        <f>IF(D93="","-",+C125+1)</f>
        <v>2044</v>
      </c>
      <c r="D126" s="347">
        <f>IF(F125+SUM(E$99:E125)=D$92,F125,D$92-SUM(E$99:E125))</f>
        <v>117832</v>
      </c>
      <c r="E126" s="485">
        <f t="shared" si="15"/>
        <v>8070</v>
      </c>
      <c r="F126" s="486">
        <f t="shared" si="16"/>
        <v>109762</v>
      </c>
      <c r="G126" s="486">
        <f t="shared" si="17"/>
        <v>113797</v>
      </c>
      <c r="H126" s="614">
        <f t="shared" si="18"/>
        <v>19804.066825897491</v>
      </c>
      <c r="I126" s="615">
        <f t="shared" si="19"/>
        <v>19804.066825897491</v>
      </c>
      <c r="J126" s="479">
        <f t="shared" si="10"/>
        <v>0</v>
      </c>
      <c r="K126" s="479"/>
      <c r="L126" s="488"/>
      <c r="M126" s="479">
        <f t="shared" si="11"/>
        <v>0</v>
      </c>
      <c r="N126" s="488"/>
      <c r="O126" s="479">
        <f t="shared" si="12"/>
        <v>0</v>
      </c>
      <c r="P126" s="479">
        <f t="shared" si="13"/>
        <v>0</v>
      </c>
    </row>
    <row r="127" spans="2:16" ht="12.5">
      <c r="B127" s="160" t="str">
        <f t="shared" si="14"/>
        <v/>
      </c>
      <c r="C127" s="473">
        <f>IF(D93="","-",+C126+1)</f>
        <v>2045</v>
      </c>
      <c r="D127" s="347">
        <f>IF(F126+SUM(E$99:E126)=D$92,F126,D$92-SUM(E$99:E126))</f>
        <v>109762</v>
      </c>
      <c r="E127" s="485">
        <f t="shared" si="15"/>
        <v>8070</v>
      </c>
      <c r="F127" s="486">
        <f t="shared" si="16"/>
        <v>101692</v>
      </c>
      <c r="G127" s="486">
        <f t="shared" si="17"/>
        <v>105727</v>
      </c>
      <c r="H127" s="614">
        <f t="shared" si="18"/>
        <v>18971.936635426802</v>
      </c>
      <c r="I127" s="615">
        <f t="shared" si="19"/>
        <v>18971.936635426802</v>
      </c>
      <c r="J127" s="479">
        <f t="shared" si="10"/>
        <v>0</v>
      </c>
      <c r="K127" s="479"/>
      <c r="L127" s="488"/>
      <c r="M127" s="479">
        <f t="shared" si="11"/>
        <v>0</v>
      </c>
      <c r="N127" s="488"/>
      <c r="O127" s="479">
        <f t="shared" si="12"/>
        <v>0</v>
      </c>
      <c r="P127" s="479">
        <f t="shared" si="13"/>
        <v>0</v>
      </c>
    </row>
    <row r="128" spans="2:16" ht="12.5">
      <c r="B128" s="160" t="str">
        <f t="shared" si="14"/>
        <v/>
      </c>
      <c r="C128" s="473">
        <f>IF(D93="","-",+C127+1)</f>
        <v>2046</v>
      </c>
      <c r="D128" s="347">
        <f>IF(F127+SUM(E$99:E127)=D$92,F127,D$92-SUM(E$99:E127))</f>
        <v>101692</v>
      </c>
      <c r="E128" s="485">
        <f t="shared" si="15"/>
        <v>8070</v>
      </c>
      <c r="F128" s="486">
        <f t="shared" si="16"/>
        <v>93622</v>
      </c>
      <c r="G128" s="486">
        <f t="shared" si="17"/>
        <v>97657</v>
      </c>
      <c r="H128" s="614">
        <f t="shared" si="18"/>
        <v>18139.806444956113</v>
      </c>
      <c r="I128" s="615">
        <f t="shared" si="19"/>
        <v>18139.806444956113</v>
      </c>
      <c r="J128" s="479">
        <f t="shared" si="10"/>
        <v>0</v>
      </c>
      <c r="K128" s="479"/>
      <c r="L128" s="488"/>
      <c r="M128" s="479">
        <f t="shared" si="11"/>
        <v>0</v>
      </c>
      <c r="N128" s="488"/>
      <c r="O128" s="479">
        <f t="shared" si="12"/>
        <v>0</v>
      </c>
      <c r="P128" s="479">
        <f t="shared" si="13"/>
        <v>0</v>
      </c>
    </row>
    <row r="129" spans="2:16" ht="12.5">
      <c r="B129" s="160" t="str">
        <f t="shared" si="14"/>
        <v/>
      </c>
      <c r="C129" s="473">
        <f>IF(D93="","-",+C128+1)</f>
        <v>2047</v>
      </c>
      <c r="D129" s="347">
        <f>IF(F128+SUM(E$99:E128)=D$92,F128,D$92-SUM(E$99:E128))</f>
        <v>93622</v>
      </c>
      <c r="E129" s="485">
        <f t="shared" si="15"/>
        <v>8070</v>
      </c>
      <c r="F129" s="486">
        <f t="shared" si="16"/>
        <v>85552</v>
      </c>
      <c r="G129" s="486">
        <f t="shared" si="17"/>
        <v>89587</v>
      </c>
      <c r="H129" s="614">
        <f t="shared" si="18"/>
        <v>17307.676254485428</v>
      </c>
      <c r="I129" s="615">
        <f t="shared" si="19"/>
        <v>17307.676254485428</v>
      </c>
      <c r="J129" s="479">
        <f t="shared" si="10"/>
        <v>0</v>
      </c>
      <c r="K129" s="479"/>
      <c r="L129" s="488"/>
      <c r="M129" s="479">
        <f t="shared" si="11"/>
        <v>0</v>
      </c>
      <c r="N129" s="488"/>
      <c r="O129" s="479">
        <f t="shared" si="12"/>
        <v>0</v>
      </c>
      <c r="P129" s="479">
        <f t="shared" si="13"/>
        <v>0</v>
      </c>
    </row>
    <row r="130" spans="2:16" ht="12.5">
      <c r="B130" s="160" t="str">
        <f t="shared" si="14"/>
        <v/>
      </c>
      <c r="C130" s="473">
        <f>IF(D93="","-",+C129+1)</f>
        <v>2048</v>
      </c>
      <c r="D130" s="347">
        <f>IF(F129+SUM(E$99:E129)=D$92,F129,D$92-SUM(E$99:E129))</f>
        <v>85552</v>
      </c>
      <c r="E130" s="485">
        <f t="shared" si="15"/>
        <v>8070</v>
      </c>
      <c r="F130" s="486">
        <f t="shared" si="16"/>
        <v>77482</v>
      </c>
      <c r="G130" s="486">
        <f t="shared" si="17"/>
        <v>81517</v>
      </c>
      <c r="H130" s="614">
        <f t="shared" si="18"/>
        <v>16475.546064014743</v>
      </c>
      <c r="I130" s="615">
        <f t="shared" si="19"/>
        <v>16475.546064014743</v>
      </c>
      <c r="J130" s="479">
        <f t="shared" si="10"/>
        <v>0</v>
      </c>
      <c r="K130" s="479"/>
      <c r="L130" s="488"/>
      <c r="M130" s="479">
        <f t="shared" si="11"/>
        <v>0</v>
      </c>
      <c r="N130" s="488"/>
      <c r="O130" s="479">
        <f t="shared" si="12"/>
        <v>0</v>
      </c>
      <c r="P130" s="479">
        <f t="shared" si="13"/>
        <v>0</v>
      </c>
    </row>
    <row r="131" spans="2:16" ht="12.5">
      <c r="B131" s="160" t="str">
        <f t="shared" si="14"/>
        <v/>
      </c>
      <c r="C131" s="473">
        <f>IF(D93="","-",+C130+1)</f>
        <v>2049</v>
      </c>
      <c r="D131" s="347">
        <f>IF(F130+SUM(E$99:E130)=D$92,F130,D$92-SUM(E$99:E130))</f>
        <v>77482</v>
      </c>
      <c r="E131" s="485">
        <f t="shared" si="15"/>
        <v>8070</v>
      </c>
      <c r="F131" s="486">
        <f t="shared" si="16"/>
        <v>69412</v>
      </c>
      <c r="G131" s="486">
        <f t="shared" si="17"/>
        <v>73447</v>
      </c>
      <c r="H131" s="614">
        <f t="shared" si="18"/>
        <v>15643.415873544054</v>
      </c>
      <c r="I131" s="615">
        <f t="shared" si="19"/>
        <v>15643.415873544054</v>
      </c>
      <c r="J131" s="479">
        <f t="shared" ref="J131:J154" si="20">+I541-H541</f>
        <v>0</v>
      </c>
      <c r="K131" s="479"/>
      <c r="L131" s="488"/>
      <c r="M131" s="479">
        <f t="shared" ref="M131:M154" si="21">IF(L541&lt;&gt;0,+H541-L541,0)</f>
        <v>0</v>
      </c>
      <c r="N131" s="488"/>
      <c r="O131" s="479">
        <f t="shared" ref="O131:O154" si="22">IF(N541&lt;&gt;0,+I541-N541,0)</f>
        <v>0</v>
      </c>
      <c r="P131" s="479">
        <f t="shared" ref="P131:P154" si="23">+O541-M541</f>
        <v>0</v>
      </c>
    </row>
    <row r="132" spans="2:16" ht="12.5">
      <c r="B132" s="160" t="str">
        <f t="shared" si="14"/>
        <v/>
      </c>
      <c r="C132" s="473">
        <f>IF(D93="","-",+C131+1)</f>
        <v>2050</v>
      </c>
      <c r="D132" s="347">
        <f>IF(F131+SUM(E$99:E131)=D$92,F131,D$92-SUM(E$99:E131))</f>
        <v>69412</v>
      </c>
      <c r="E132" s="485">
        <f t="shared" si="15"/>
        <v>8070</v>
      </c>
      <c r="F132" s="486">
        <f t="shared" si="16"/>
        <v>61342</v>
      </c>
      <c r="G132" s="486">
        <f t="shared" si="17"/>
        <v>65377</v>
      </c>
      <c r="H132" s="614">
        <f t="shared" si="18"/>
        <v>14811.285683073369</v>
      </c>
      <c r="I132" s="615">
        <f t="shared" si="19"/>
        <v>14811.285683073369</v>
      </c>
      <c r="J132" s="479">
        <f t="shared" si="20"/>
        <v>0</v>
      </c>
      <c r="K132" s="479"/>
      <c r="L132" s="488"/>
      <c r="M132" s="479">
        <f t="shared" si="21"/>
        <v>0</v>
      </c>
      <c r="N132" s="488"/>
      <c r="O132" s="479">
        <f t="shared" si="22"/>
        <v>0</v>
      </c>
      <c r="P132" s="479">
        <f t="shared" si="23"/>
        <v>0</v>
      </c>
    </row>
    <row r="133" spans="2:16" ht="12.5">
      <c r="B133" s="160" t="str">
        <f t="shared" si="14"/>
        <v/>
      </c>
      <c r="C133" s="473">
        <f>IF(D93="","-",+C132+1)</f>
        <v>2051</v>
      </c>
      <c r="D133" s="347">
        <f>IF(F132+SUM(E$99:E132)=D$92,F132,D$92-SUM(E$99:E132))</f>
        <v>61342</v>
      </c>
      <c r="E133" s="485">
        <f t="shared" si="15"/>
        <v>8070</v>
      </c>
      <c r="F133" s="486">
        <f t="shared" si="16"/>
        <v>53272</v>
      </c>
      <c r="G133" s="486">
        <f t="shared" si="17"/>
        <v>57307</v>
      </c>
      <c r="H133" s="614">
        <f t="shared" si="18"/>
        <v>13979.155492602682</v>
      </c>
      <c r="I133" s="615">
        <f t="shared" si="19"/>
        <v>13979.155492602682</v>
      </c>
      <c r="J133" s="479">
        <f t="shared" si="20"/>
        <v>0</v>
      </c>
      <c r="K133" s="479"/>
      <c r="L133" s="488"/>
      <c r="M133" s="479">
        <f t="shared" si="21"/>
        <v>0</v>
      </c>
      <c r="N133" s="488"/>
      <c r="O133" s="479">
        <f t="shared" si="22"/>
        <v>0</v>
      </c>
      <c r="P133" s="479">
        <f t="shared" si="23"/>
        <v>0</v>
      </c>
    </row>
    <row r="134" spans="2:16" ht="12.5">
      <c r="B134" s="160" t="str">
        <f t="shared" si="14"/>
        <v/>
      </c>
      <c r="C134" s="473">
        <f>IF(D93="","-",+C133+1)</f>
        <v>2052</v>
      </c>
      <c r="D134" s="347">
        <f>IF(F133+SUM(E$99:E133)=D$92,F133,D$92-SUM(E$99:E133))</f>
        <v>53272</v>
      </c>
      <c r="E134" s="485">
        <f t="shared" si="15"/>
        <v>8070</v>
      </c>
      <c r="F134" s="486">
        <f t="shared" si="16"/>
        <v>45202</v>
      </c>
      <c r="G134" s="486">
        <f t="shared" si="17"/>
        <v>49237</v>
      </c>
      <c r="H134" s="614">
        <f t="shared" si="18"/>
        <v>13147.025302131995</v>
      </c>
      <c r="I134" s="615">
        <f t="shared" si="19"/>
        <v>13147.025302131995</v>
      </c>
      <c r="J134" s="479">
        <f t="shared" si="20"/>
        <v>0</v>
      </c>
      <c r="K134" s="479"/>
      <c r="L134" s="488"/>
      <c r="M134" s="479">
        <f t="shared" si="21"/>
        <v>0</v>
      </c>
      <c r="N134" s="488"/>
      <c r="O134" s="479">
        <f t="shared" si="22"/>
        <v>0</v>
      </c>
      <c r="P134" s="479">
        <f t="shared" si="23"/>
        <v>0</v>
      </c>
    </row>
    <row r="135" spans="2:16" ht="12.5">
      <c r="B135" s="160" t="str">
        <f t="shared" si="14"/>
        <v/>
      </c>
      <c r="C135" s="473">
        <f>IF(D93="","-",+C134+1)</f>
        <v>2053</v>
      </c>
      <c r="D135" s="347">
        <f>IF(F134+SUM(E$99:E134)=D$92,F134,D$92-SUM(E$99:E134))</f>
        <v>45202</v>
      </c>
      <c r="E135" s="485">
        <f t="shared" si="15"/>
        <v>8070</v>
      </c>
      <c r="F135" s="486">
        <f t="shared" si="16"/>
        <v>37132</v>
      </c>
      <c r="G135" s="486">
        <f t="shared" si="17"/>
        <v>41167</v>
      </c>
      <c r="H135" s="614">
        <f t="shared" si="18"/>
        <v>12314.895111661308</v>
      </c>
      <c r="I135" s="615">
        <f t="shared" si="19"/>
        <v>12314.895111661308</v>
      </c>
      <c r="J135" s="479">
        <f t="shared" si="20"/>
        <v>0</v>
      </c>
      <c r="K135" s="479"/>
      <c r="L135" s="488"/>
      <c r="M135" s="479">
        <f t="shared" si="21"/>
        <v>0</v>
      </c>
      <c r="N135" s="488"/>
      <c r="O135" s="479">
        <f t="shared" si="22"/>
        <v>0</v>
      </c>
      <c r="P135" s="479">
        <f t="shared" si="23"/>
        <v>0</v>
      </c>
    </row>
    <row r="136" spans="2:16" ht="12.5">
      <c r="B136" s="160" t="str">
        <f t="shared" si="14"/>
        <v/>
      </c>
      <c r="C136" s="473">
        <f>IF(D93="","-",+C135+1)</f>
        <v>2054</v>
      </c>
      <c r="D136" s="347">
        <f>IF(F135+SUM(E$99:E135)=D$92,F135,D$92-SUM(E$99:E135))</f>
        <v>37132</v>
      </c>
      <c r="E136" s="485">
        <f t="shared" si="15"/>
        <v>8070</v>
      </c>
      <c r="F136" s="486">
        <f t="shared" si="16"/>
        <v>29062</v>
      </c>
      <c r="G136" s="486">
        <f t="shared" si="17"/>
        <v>33097</v>
      </c>
      <c r="H136" s="614">
        <f t="shared" si="18"/>
        <v>11482.764921190621</v>
      </c>
      <c r="I136" s="615">
        <f t="shared" si="19"/>
        <v>11482.764921190621</v>
      </c>
      <c r="J136" s="479">
        <f t="shared" si="20"/>
        <v>0</v>
      </c>
      <c r="K136" s="479"/>
      <c r="L136" s="488"/>
      <c r="M136" s="479">
        <f t="shared" si="21"/>
        <v>0</v>
      </c>
      <c r="N136" s="488"/>
      <c r="O136" s="479">
        <f t="shared" si="22"/>
        <v>0</v>
      </c>
      <c r="P136" s="479">
        <f t="shared" si="23"/>
        <v>0</v>
      </c>
    </row>
    <row r="137" spans="2:16" ht="12.5">
      <c r="B137" s="160" t="str">
        <f t="shared" si="14"/>
        <v/>
      </c>
      <c r="C137" s="473">
        <f>IF(D93="","-",+C136+1)</f>
        <v>2055</v>
      </c>
      <c r="D137" s="347">
        <f>IF(F136+SUM(E$99:E136)=D$92,F136,D$92-SUM(E$99:E136))</f>
        <v>29062</v>
      </c>
      <c r="E137" s="485">
        <f t="shared" si="15"/>
        <v>8070</v>
      </c>
      <c r="F137" s="486">
        <f t="shared" si="16"/>
        <v>20992</v>
      </c>
      <c r="G137" s="486">
        <f t="shared" si="17"/>
        <v>25027</v>
      </c>
      <c r="H137" s="614">
        <f t="shared" si="18"/>
        <v>10650.634730719936</v>
      </c>
      <c r="I137" s="615">
        <f t="shared" si="19"/>
        <v>10650.634730719936</v>
      </c>
      <c r="J137" s="479">
        <f t="shared" si="20"/>
        <v>0</v>
      </c>
      <c r="K137" s="479"/>
      <c r="L137" s="488"/>
      <c r="M137" s="479">
        <f t="shared" si="21"/>
        <v>0</v>
      </c>
      <c r="N137" s="488"/>
      <c r="O137" s="479">
        <f t="shared" si="22"/>
        <v>0</v>
      </c>
      <c r="P137" s="479">
        <f t="shared" si="23"/>
        <v>0</v>
      </c>
    </row>
    <row r="138" spans="2:16" ht="12.5">
      <c r="B138" s="160" t="str">
        <f t="shared" si="14"/>
        <v/>
      </c>
      <c r="C138" s="473">
        <f>IF(D93="","-",+C137+1)</f>
        <v>2056</v>
      </c>
      <c r="D138" s="347">
        <f>IF(F137+SUM(E$99:E137)=D$92,F137,D$92-SUM(E$99:E137))</f>
        <v>20992</v>
      </c>
      <c r="E138" s="485">
        <f t="shared" si="15"/>
        <v>8070</v>
      </c>
      <c r="F138" s="486">
        <f t="shared" si="16"/>
        <v>12922</v>
      </c>
      <c r="G138" s="486">
        <f t="shared" si="17"/>
        <v>16957</v>
      </c>
      <c r="H138" s="614">
        <f t="shared" si="18"/>
        <v>9818.5045402492487</v>
      </c>
      <c r="I138" s="615">
        <f t="shared" si="19"/>
        <v>9818.5045402492487</v>
      </c>
      <c r="J138" s="479">
        <f t="shared" si="20"/>
        <v>0</v>
      </c>
      <c r="K138" s="479"/>
      <c r="L138" s="488"/>
      <c r="M138" s="479">
        <f t="shared" si="21"/>
        <v>0</v>
      </c>
      <c r="N138" s="488"/>
      <c r="O138" s="479">
        <f t="shared" si="22"/>
        <v>0</v>
      </c>
      <c r="P138" s="479">
        <f t="shared" si="23"/>
        <v>0</v>
      </c>
    </row>
    <row r="139" spans="2:16" ht="12.5">
      <c r="B139" s="160" t="str">
        <f t="shared" si="14"/>
        <v/>
      </c>
      <c r="C139" s="473">
        <f>IF(D93="","-",+C138+1)</f>
        <v>2057</v>
      </c>
      <c r="D139" s="347">
        <f>IF(F138+SUM(E$99:E138)=D$92,F138,D$92-SUM(E$99:E138))</f>
        <v>12922</v>
      </c>
      <c r="E139" s="485">
        <f t="shared" si="15"/>
        <v>8070</v>
      </c>
      <c r="F139" s="486">
        <f t="shared" si="16"/>
        <v>4852</v>
      </c>
      <c r="G139" s="486">
        <f t="shared" si="17"/>
        <v>8887</v>
      </c>
      <c r="H139" s="614">
        <f t="shared" si="18"/>
        <v>8986.3743497785617</v>
      </c>
      <c r="I139" s="615">
        <f t="shared" si="19"/>
        <v>8986.3743497785617</v>
      </c>
      <c r="J139" s="479">
        <f t="shared" si="20"/>
        <v>0</v>
      </c>
      <c r="K139" s="479"/>
      <c r="L139" s="488"/>
      <c r="M139" s="479">
        <f t="shared" si="21"/>
        <v>0</v>
      </c>
      <c r="N139" s="488"/>
      <c r="O139" s="479">
        <f t="shared" si="22"/>
        <v>0</v>
      </c>
      <c r="P139" s="479">
        <f t="shared" si="23"/>
        <v>0</v>
      </c>
    </row>
    <row r="140" spans="2:16" ht="12.5">
      <c r="B140" s="160" t="str">
        <f t="shared" si="14"/>
        <v/>
      </c>
      <c r="C140" s="473">
        <f>IF(D93="","-",+C139+1)</f>
        <v>2058</v>
      </c>
      <c r="D140" s="347">
        <f>IF(F139+SUM(E$99:E139)=D$92,F139,D$92-SUM(E$99:E139))</f>
        <v>4852</v>
      </c>
      <c r="E140" s="485">
        <f t="shared" si="15"/>
        <v>4852</v>
      </c>
      <c r="F140" s="486">
        <f t="shared" si="16"/>
        <v>0</v>
      </c>
      <c r="G140" s="486">
        <f t="shared" si="17"/>
        <v>2426</v>
      </c>
      <c r="H140" s="614">
        <f t="shared" si="18"/>
        <v>5102.1546272716096</v>
      </c>
      <c r="I140" s="615">
        <f t="shared" si="19"/>
        <v>5102.1546272716096</v>
      </c>
      <c r="J140" s="479">
        <f t="shared" si="20"/>
        <v>0</v>
      </c>
      <c r="K140" s="479"/>
      <c r="L140" s="488"/>
      <c r="M140" s="479">
        <f t="shared" si="21"/>
        <v>0</v>
      </c>
      <c r="N140" s="488"/>
      <c r="O140" s="479">
        <f t="shared" si="22"/>
        <v>0</v>
      </c>
      <c r="P140" s="479">
        <f t="shared" si="23"/>
        <v>0</v>
      </c>
    </row>
    <row r="141" spans="2:16" ht="12.5">
      <c r="B141" s="160" t="str">
        <f t="shared" si="14"/>
        <v/>
      </c>
      <c r="C141" s="473">
        <f>IF(D93="","-",+C140+1)</f>
        <v>2059</v>
      </c>
      <c r="D141" s="347">
        <f>IF(F140+SUM(E$99:E140)=D$92,F140,D$92-SUM(E$99:E140))</f>
        <v>0</v>
      </c>
      <c r="E141" s="485">
        <f t="shared" si="15"/>
        <v>0</v>
      </c>
      <c r="F141" s="486">
        <f t="shared" si="16"/>
        <v>0</v>
      </c>
      <c r="G141" s="486">
        <f t="shared" si="17"/>
        <v>0</v>
      </c>
      <c r="H141" s="614">
        <f t="shared" si="18"/>
        <v>0</v>
      </c>
      <c r="I141" s="615">
        <f t="shared" si="19"/>
        <v>0</v>
      </c>
      <c r="J141" s="479">
        <f t="shared" si="20"/>
        <v>0</v>
      </c>
      <c r="K141" s="479"/>
      <c r="L141" s="488"/>
      <c r="M141" s="479">
        <f t="shared" si="21"/>
        <v>0</v>
      </c>
      <c r="N141" s="488"/>
      <c r="O141" s="479">
        <f t="shared" si="22"/>
        <v>0</v>
      </c>
      <c r="P141" s="479">
        <f t="shared" si="23"/>
        <v>0</v>
      </c>
    </row>
    <row r="142" spans="2:16" ht="12.5">
      <c r="B142" s="160" t="str">
        <f t="shared" si="14"/>
        <v/>
      </c>
      <c r="C142" s="473">
        <f>IF(D93="","-",+C141+1)</f>
        <v>2060</v>
      </c>
      <c r="D142" s="347">
        <f>IF(F141+SUM(E$99:E141)=D$92,F141,D$92-SUM(E$99:E141))</f>
        <v>0</v>
      </c>
      <c r="E142" s="485">
        <f t="shared" si="15"/>
        <v>0</v>
      </c>
      <c r="F142" s="486">
        <f t="shared" si="16"/>
        <v>0</v>
      </c>
      <c r="G142" s="486">
        <f t="shared" si="17"/>
        <v>0</v>
      </c>
      <c r="H142" s="614">
        <f t="shared" si="18"/>
        <v>0</v>
      </c>
      <c r="I142" s="615">
        <f t="shared" si="19"/>
        <v>0</v>
      </c>
      <c r="J142" s="479">
        <f t="shared" si="20"/>
        <v>0</v>
      </c>
      <c r="K142" s="479"/>
      <c r="L142" s="488"/>
      <c r="M142" s="479">
        <f t="shared" si="21"/>
        <v>0</v>
      </c>
      <c r="N142" s="488"/>
      <c r="O142" s="479">
        <f t="shared" si="22"/>
        <v>0</v>
      </c>
      <c r="P142" s="479">
        <f t="shared" si="23"/>
        <v>0</v>
      </c>
    </row>
    <row r="143" spans="2:16" ht="12.5">
      <c r="B143" s="160" t="str">
        <f t="shared" si="14"/>
        <v/>
      </c>
      <c r="C143" s="473">
        <f>IF(D93="","-",+C142+1)</f>
        <v>2061</v>
      </c>
      <c r="D143" s="347">
        <f>IF(F142+SUM(E$99:E142)=D$92,F142,D$92-SUM(E$99:E142))</f>
        <v>0</v>
      </c>
      <c r="E143" s="485">
        <f t="shared" si="15"/>
        <v>0</v>
      </c>
      <c r="F143" s="486">
        <f t="shared" si="16"/>
        <v>0</v>
      </c>
      <c r="G143" s="486">
        <f t="shared" si="17"/>
        <v>0</v>
      </c>
      <c r="H143" s="614">
        <f t="shared" si="18"/>
        <v>0</v>
      </c>
      <c r="I143" s="615">
        <f t="shared" si="19"/>
        <v>0</v>
      </c>
      <c r="J143" s="479">
        <f t="shared" si="20"/>
        <v>0</v>
      </c>
      <c r="K143" s="479"/>
      <c r="L143" s="488"/>
      <c r="M143" s="479">
        <f t="shared" si="21"/>
        <v>0</v>
      </c>
      <c r="N143" s="488"/>
      <c r="O143" s="479">
        <f t="shared" si="22"/>
        <v>0</v>
      </c>
      <c r="P143" s="479">
        <f t="shared" si="23"/>
        <v>0</v>
      </c>
    </row>
    <row r="144" spans="2:16" ht="12.5">
      <c r="B144" s="160" t="str">
        <f t="shared" si="14"/>
        <v/>
      </c>
      <c r="C144" s="473">
        <f>IF(D93="","-",+C143+1)</f>
        <v>2062</v>
      </c>
      <c r="D144" s="347">
        <f>IF(F143+SUM(E$99:E143)=D$92,F143,D$92-SUM(E$99:E143))</f>
        <v>0</v>
      </c>
      <c r="E144" s="485">
        <f t="shared" si="15"/>
        <v>0</v>
      </c>
      <c r="F144" s="486">
        <f t="shared" si="16"/>
        <v>0</v>
      </c>
      <c r="G144" s="486">
        <f t="shared" si="17"/>
        <v>0</v>
      </c>
      <c r="H144" s="614">
        <f t="shared" si="18"/>
        <v>0</v>
      </c>
      <c r="I144" s="615">
        <f t="shared" si="19"/>
        <v>0</v>
      </c>
      <c r="J144" s="479">
        <f t="shared" si="20"/>
        <v>0</v>
      </c>
      <c r="K144" s="479"/>
      <c r="L144" s="488"/>
      <c r="M144" s="479">
        <f t="shared" si="21"/>
        <v>0</v>
      </c>
      <c r="N144" s="488"/>
      <c r="O144" s="479">
        <f t="shared" si="22"/>
        <v>0</v>
      </c>
      <c r="P144" s="479">
        <f t="shared" si="23"/>
        <v>0</v>
      </c>
    </row>
    <row r="145" spans="2:16" ht="12.5">
      <c r="B145" s="160" t="str">
        <f t="shared" si="14"/>
        <v/>
      </c>
      <c r="C145" s="473">
        <f>IF(D93="","-",+C144+1)</f>
        <v>2063</v>
      </c>
      <c r="D145" s="347">
        <f>IF(F144+SUM(E$99:E144)=D$92,F144,D$92-SUM(E$99:E144))</f>
        <v>0</v>
      </c>
      <c r="E145" s="485">
        <f t="shared" si="15"/>
        <v>0</v>
      </c>
      <c r="F145" s="486">
        <f t="shared" si="16"/>
        <v>0</v>
      </c>
      <c r="G145" s="486">
        <f t="shared" si="17"/>
        <v>0</v>
      </c>
      <c r="H145" s="614">
        <f t="shared" si="18"/>
        <v>0</v>
      </c>
      <c r="I145" s="615">
        <f t="shared" si="19"/>
        <v>0</v>
      </c>
      <c r="J145" s="479">
        <f t="shared" si="20"/>
        <v>0</v>
      </c>
      <c r="K145" s="479"/>
      <c r="L145" s="488"/>
      <c r="M145" s="479">
        <f t="shared" si="21"/>
        <v>0</v>
      </c>
      <c r="N145" s="488"/>
      <c r="O145" s="479">
        <f t="shared" si="22"/>
        <v>0</v>
      </c>
      <c r="P145" s="479">
        <f t="shared" si="23"/>
        <v>0</v>
      </c>
    </row>
    <row r="146" spans="2:16" ht="12.5">
      <c r="B146" s="160" t="str">
        <f t="shared" si="14"/>
        <v/>
      </c>
      <c r="C146" s="473">
        <f>IF(D93="","-",+C145+1)</f>
        <v>2064</v>
      </c>
      <c r="D146" s="347">
        <f>IF(F145+SUM(E$99:E145)=D$92,F145,D$92-SUM(E$99:E145))</f>
        <v>0</v>
      </c>
      <c r="E146" s="485">
        <f t="shared" si="15"/>
        <v>0</v>
      </c>
      <c r="F146" s="486">
        <f t="shared" si="16"/>
        <v>0</v>
      </c>
      <c r="G146" s="486">
        <f t="shared" si="17"/>
        <v>0</v>
      </c>
      <c r="H146" s="614">
        <f t="shared" si="18"/>
        <v>0</v>
      </c>
      <c r="I146" s="615">
        <f t="shared" si="19"/>
        <v>0</v>
      </c>
      <c r="J146" s="479">
        <f t="shared" si="20"/>
        <v>0</v>
      </c>
      <c r="K146" s="479"/>
      <c r="L146" s="488"/>
      <c r="M146" s="479">
        <f t="shared" si="21"/>
        <v>0</v>
      </c>
      <c r="N146" s="488"/>
      <c r="O146" s="479">
        <f t="shared" si="22"/>
        <v>0</v>
      </c>
      <c r="P146" s="479">
        <f t="shared" si="23"/>
        <v>0</v>
      </c>
    </row>
    <row r="147" spans="2:16" ht="12.5">
      <c r="B147" s="160" t="str">
        <f t="shared" si="14"/>
        <v/>
      </c>
      <c r="C147" s="473">
        <f>IF(D93="","-",+C146+1)</f>
        <v>2065</v>
      </c>
      <c r="D147" s="347">
        <f>IF(F146+SUM(E$99:E146)=D$92,F146,D$92-SUM(E$99:E146))</f>
        <v>0</v>
      </c>
      <c r="E147" s="485">
        <f t="shared" si="15"/>
        <v>0</v>
      </c>
      <c r="F147" s="486">
        <f t="shared" si="16"/>
        <v>0</v>
      </c>
      <c r="G147" s="486">
        <f t="shared" si="17"/>
        <v>0</v>
      </c>
      <c r="H147" s="614">
        <f t="shared" si="18"/>
        <v>0</v>
      </c>
      <c r="I147" s="615">
        <f t="shared" si="19"/>
        <v>0</v>
      </c>
      <c r="J147" s="479">
        <f t="shared" si="20"/>
        <v>0</v>
      </c>
      <c r="K147" s="479"/>
      <c r="L147" s="488"/>
      <c r="M147" s="479">
        <f t="shared" si="21"/>
        <v>0</v>
      </c>
      <c r="N147" s="488"/>
      <c r="O147" s="479">
        <f t="shared" si="22"/>
        <v>0</v>
      </c>
      <c r="P147" s="479">
        <f t="shared" si="23"/>
        <v>0</v>
      </c>
    </row>
    <row r="148" spans="2:16" ht="12.5">
      <c r="B148" s="160" t="str">
        <f t="shared" si="14"/>
        <v/>
      </c>
      <c r="C148" s="473">
        <f>IF(D93="","-",+C147+1)</f>
        <v>2066</v>
      </c>
      <c r="D148" s="347">
        <f>IF(F147+SUM(E$99:E147)=D$92,F147,D$92-SUM(E$99:E147))</f>
        <v>0</v>
      </c>
      <c r="E148" s="485">
        <f t="shared" si="15"/>
        <v>0</v>
      </c>
      <c r="F148" s="486">
        <f t="shared" si="16"/>
        <v>0</v>
      </c>
      <c r="G148" s="486">
        <f t="shared" si="17"/>
        <v>0</v>
      </c>
      <c r="H148" s="614">
        <f t="shared" si="18"/>
        <v>0</v>
      </c>
      <c r="I148" s="615">
        <f t="shared" si="19"/>
        <v>0</v>
      </c>
      <c r="J148" s="479">
        <f t="shared" si="20"/>
        <v>0</v>
      </c>
      <c r="K148" s="479"/>
      <c r="L148" s="488"/>
      <c r="M148" s="479">
        <f t="shared" si="21"/>
        <v>0</v>
      </c>
      <c r="N148" s="488"/>
      <c r="O148" s="479">
        <f t="shared" si="22"/>
        <v>0</v>
      </c>
      <c r="P148" s="479">
        <f t="shared" si="23"/>
        <v>0</v>
      </c>
    </row>
    <row r="149" spans="2:16" ht="12.5">
      <c r="B149" s="160" t="str">
        <f t="shared" si="14"/>
        <v/>
      </c>
      <c r="C149" s="473">
        <f>IF(D93="","-",+C148+1)</f>
        <v>2067</v>
      </c>
      <c r="D149" s="347">
        <f>IF(F148+SUM(E$99:E148)=D$92,F148,D$92-SUM(E$99:E148))</f>
        <v>0</v>
      </c>
      <c r="E149" s="485">
        <f t="shared" si="15"/>
        <v>0</v>
      </c>
      <c r="F149" s="486">
        <f t="shared" si="16"/>
        <v>0</v>
      </c>
      <c r="G149" s="486">
        <f t="shared" si="17"/>
        <v>0</v>
      </c>
      <c r="H149" s="614">
        <f t="shared" si="18"/>
        <v>0</v>
      </c>
      <c r="I149" s="615">
        <f t="shared" si="19"/>
        <v>0</v>
      </c>
      <c r="J149" s="479">
        <f t="shared" si="20"/>
        <v>0</v>
      </c>
      <c r="K149" s="479"/>
      <c r="L149" s="488"/>
      <c r="M149" s="479">
        <f t="shared" si="21"/>
        <v>0</v>
      </c>
      <c r="N149" s="488"/>
      <c r="O149" s="479">
        <f t="shared" si="22"/>
        <v>0</v>
      </c>
      <c r="P149" s="479">
        <f t="shared" si="23"/>
        <v>0</v>
      </c>
    </row>
    <row r="150" spans="2:16" ht="12.5">
      <c r="B150" s="160" t="str">
        <f t="shared" si="14"/>
        <v/>
      </c>
      <c r="C150" s="473">
        <f>IF(D93="","-",+C149+1)</f>
        <v>2068</v>
      </c>
      <c r="D150" s="347">
        <f>IF(F149+SUM(E$99:E149)=D$92,F149,D$92-SUM(E$99:E149))</f>
        <v>0</v>
      </c>
      <c r="E150" s="485">
        <f t="shared" si="15"/>
        <v>0</v>
      </c>
      <c r="F150" s="486">
        <f t="shared" si="16"/>
        <v>0</v>
      </c>
      <c r="G150" s="486">
        <f t="shared" si="17"/>
        <v>0</v>
      </c>
      <c r="H150" s="614">
        <f t="shared" si="18"/>
        <v>0</v>
      </c>
      <c r="I150" s="615">
        <f t="shared" si="19"/>
        <v>0</v>
      </c>
      <c r="J150" s="479">
        <f t="shared" si="20"/>
        <v>0</v>
      </c>
      <c r="K150" s="479"/>
      <c r="L150" s="488"/>
      <c r="M150" s="479">
        <f t="shared" si="21"/>
        <v>0</v>
      </c>
      <c r="N150" s="488"/>
      <c r="O150" s="479">
        <f t="shared" si="22"/>
        <v>0</v>
      </c>
      <c r="P150" s="479">
        <f t="shared" si="23"/>
        <v>0</v>
      </c>
    </row>
    <row r="151" spans="2:16" ht="12.5">
      <c r="B151" s="160" t="str">
        <f t="shared" si="14"/>
        <v/>
      </c>
      <c r="C151" s="473">
        <f>IF(D93="","-",+C150+1)</f>
        <v>2069</v>
      </c>
      <c r="D151" s="347">
        <f>IF(F150+SUM(E$99:E150)=D$92,F150,D$92-SUM(E$99:E150))</f>
        <v>0</v>
      </c>
      <c r="E151" s="485">
        <f t="shared" si="15"/>
        <v>0</v>
      </c>
      <c r="F151" s="486">
        <f t="shared" si="16"/>
        <v>0</v>
      </c>
      <c r="G151" s="486">
        <f t="shared" si="17"/>
        <v>0</v>
      </c>
      <c r="H151" s="614">
        <f t="shared" si="18"/>
        <v>0</v>
      </c>
      <c r="I151" s="615">
        <f t="shared" si="19"/>
        <v>0</v>
      </c>
      <c r="J151" s="479">
        <f t="shared" si="20"/>
        <v>0</v>
      </c>
      <c r="K151" s="479"/>
      <c r="L151" s="488"/>
      <c r="M151" s="479">
        <f t="shared" si="21"/>
        <v>0</v>
      </c>
      <c r="N151" s="488"/>
      <c r="O151" s="479">
        <f t="shared" si="22"/>
        <v>0</v>
      </c>
      <c r="P151" s="479">
        <f t="shared" si="23"/>
        <v>0</v>
      </c>
    </row>
    <row r="152" spans="2:16" ht="12.5">
      <c r="B152" s="160" t="str">
        <f t="shared" si="14"/>
        <v/>
      </c>
      <c r="C152" s="473">
        <f>IF(D93="","-",+C151+1)</f>
        <v>2070</v>
      </c>
      <c r="D152" s="347">
        <f>IF(F151+SUM(E$99:E151)=D$92,F151,D$92-SUM(E$99:E151))</f>
        <v>0</v>
      </c>
      <c r="E152" s="485">
        <f t="shared" si="15"/>
        <v>0</v>
      </c>
      <c r="F152" s="486">
        <f t="shared" si="16"/>
        <v>0</v>
      </c>
      <c r="G152" s="486">
        <f t="shared" si="17"/>
        <v>0</v>
      </c>
      <c r="H152" s="614">
        <f t="shared" si="18"/>
        <v>0</v>
      </c>
      <c r="I152" s="615">
        <f t="shared" si="19"/>
        <v>0</v>
      </c>
      <c r="J152" s="479">
        <f t="shared" si="20"/>
        <v>0</v>
      </c>
      <c r="K152" s="479"/>
      <c r="L152" s="488"/>
      <c r="M152" s="479">
        <f t="shared" si="21"/>
        <v>0</v>
      </c>
      <c r="N152" s="488"/>
      <c r="O152" s="479">
        <f t="shared" si="22"/>
        <v>0</v>
      </c>
      <c r="P152" s="479">
        <f t="shared" si="23"/>
        <v>0</v>
      </c>
    </row>
    <row r="153" spans="2:16" ht="12.5">
      <c r="B153" s="160" t="str">
        <f t="shared" si="14"/>
        <v/>
      </c>
      <c r="C153" s="473">
        <f>IF(D93="","-",+C152+1)</f>
        <v>2071</v>
      </c>
      <c r="D153" s="347">
        <f>IF(F152+SUM(E$99:E152)=D$92,F152,D$92-SUM(E$99:E152))</f>
        <v>0</v>
      </c>
      <c r="E153" s="485">
        <f t="shared" si="15"/>
        <v>0</v>
      </c>
      <c r="F153" s="486">
        <f t="shared" si="16"/>
        <v>0</v>
      </c>
      <c r="G153" s="486">
        <f t="shared" si="17"/>
        <v>0</v>
      </c>
      <c r="H153" s="614">
        <f t="shared" si="18"/>
        <v>0</v>
      </c>
      <c r="I153" s="615">
        <f t="shared" si="19"/>
        <v>0</v>
      </c>
      <c r="J153" s="479">
        <f t="shared" si="20"/>
        <v>0</v>
      </c>
      <c r="K153" s="479"/>
      <c r="L153" s="488"/>
      <c r="M153" s="479">
        <f t="shared" si="21"/>
        <v>0</v>
      </c>
      <c r="N153" s="488"/>
      <c r="O153" s="479">
        <f t="shared" si="22"/>
        <v>0</v>
      </c>
      <c r="P153" s="479">
        <f t="shared" si="23"/>
        <v>0</v>
      </c>
    </row>
    <row r="154" spans="2:16" ht="13" thickBot="1">
      <c r="B154" s="160" t="str">
        <f t="shared" si="14"/>
        <v/>
      </c>
      <c r="C154" s="490">
        <f>IF(D93="","-",+C153+1)</f>
        <v>2072</v>
      </c>
      <c r="D154" s="544">
        <f>IF(F153+SUM(E$99:E153)=D$92,F153,D$92-SUM(E$99:E153))</f>
        <v>0</v>
      </c>
      <c r="E154" s="492">
        <f t="shared" si="15"/>
        <v>0</v>
      </c>
      <c r="F154" s="491">
        <f t="shared" si="16"/>
        <v>0</v>
      </c>
      <c r="G154" s="491">
        <f t="shared" si="17"/>
        <v>0</v>
      </c>
      <c r="H154" s="616">
        <f t="shared" si="18"/>
        <v>0</v>
      </c>
      <c r="I154" s="617">
        <f t="shared" si="19"/>
        <v>0</v>
      </c>
      <c r="J154" s="496">
        <f t="shared" si="20"/>
        <v>0</v>
      </c>
      <c r="K154" s="479"/>
      <c r="L154" s="495"/>
      <c r="M154" s="496">
        <f t="shared" si="21"/>
        <v>0</v>
      </c>
      <c r="N154" s="495"/>
      <c r="O154" s="496">
        <f t="shared" si="22"/>
        <v>0</v>
      </c>
      <c r="P154" s="496">
        <f t="shared" si="23"/>
        <v>0</v>
      </c>
    </row>
    <row r="155" spans="2:16" ht="12.5">
      <c r="C155" s="347" t="s">
        <v>77</v>
      </c>
      <c r="D155" s="348"/>
      <c r="E155" s="348">
        <f>SUM(E99:E154)</f>
        <v>330872</v>
      </c>
      <c r="F155" s="348"/>
      <c r="G155" s="348"/>
      <c r="H155" s="348">
        <f>SUM(H99:H154)</f>
        <v>1037446.8041963174</v>
      </c>
      <c r="I155" s="348">
        <f>SUM(I99:I154)</f>
        <v>1037446.8041963174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tabSelected="1" view="pageBreakPreview" topLeftCell="E1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22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32700.951777404996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32700.951777404996</v>
      </c>
      <c r="O6" s="233"/>
      <c r="P6" s="233"/>
    </row>
    <row r="7" spans="1:16" ht="13.5" thickBot="1">
      <c r="C7" s="432" t="s">
        <v>46</v>
      </c>
      <c r="D7" s="600" t="s">
        <v>280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302</v>
      </c>
      <c r="E9" s="578" t="s">
        <v>303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244000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5422.2222222222226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2711.1111111111113</v>
      </c>
      <c r="F17" s="585">
        <v>241288.88888888888</v>
      </c>
      <c r="G17" s="609">
        <v>17159.361980055266</v>
      </c>
      <c r="H17" s="588">
        <v>17159.361980055266</v>
      </c>
      <c r="I17" s="476">
        <f t="shared" ref="I17:I72" si="0">H17-G17</f>
        <v>0</v>
      </c>
      <c r="J17" s="476"/>
      <c r="K17" s="555">
        <f>+G17</f>
        <v>17159.361980055266</v>
      </c>
      <c r="L17" s="478">
        <f t="shared" ref="L17:L72" si="1">IF(K17&lt;&gt;0,+G17-K17,0)</f>
        <v>0</v>
      </c>
      <c r="M17" s="555">
        <f>+H17</f>
        <v>17159.361980055266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2019</v>
      </c>
      <c r="D18" s="585">
        <v>241288.88888888888</v>
      </c>
      <c r="E18" s="586">
        <v>6100</v>
      </c>
      <c r="F18" s="585">
        <v>235188.88888888888</v>
      </c>
      <c r="G18" s="586">
        <v>32700.951777404996</v>
      </c>
      <c r="H18" s="588">
        <v>32700.951777404996</v>
      </c>
      <c r="I18" s="476">
        <f t="shared" si="0"/>
        <v>0</v>
      </c>
      <c r="J18" s="476"/>
      <c r="K18" s="479">
        <f>+G18</f>
        <v>32700.951777404996</v>
      </c>
      <c r="L18" s="479">
        <f t="shared" si="1"/>
        <v>0</v>
      </c>
      <c r="M18" s="479">
        <f>+H18</f>
        <v>32700.951777404996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2020</v>
      </c>
      <c r="D19" s="484">
        <f>IF(F18+SUM(E$17:E18)=D$10,F18,D$10-SUM(E$17:E18))</f>
        <v>235188.88888888888</v>
      </c>
      <c r="E19" s="485">
        <f t="shared" ref="E19:E72" si="4">IF(+I$14&lt;F18,I$14,D19)</f>
        <v>5422.2222222222226</v>
      </c>
      <c r="F19" s="486">
        <f t="shared" ref="F19:F72" si="5">+D19-E19</f>
        <v>229766.66666666666</v>
      </c>
      <c r="G19" s="487">
        <f t="shared" ref="G19:G72" si="6">(D19+F19)/2*I$12+E19</f>
        <v>36884.697624496665</v>
      </c>
      <c r="H19" s="456">
        <f t="shared" ref="H19:H72" si="7">+(D19+F19)/2*I$13+E19</f>
        <v>36884.697624496665</v>
      </c>
      <c r="I19" s="476">
        <f t="shared" si="0"/>
        <v>0</v>
      </c>
      <c r="J19" s="476"/>
      <c r="K19" s="488"/>
      <c r="L19" s="479">
        <f t="shared" si="1"/>
        <v>0</v>
      </c>
      <c r="M19" s="488"/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8">IF(D20=F19,"","IU")</f>
        <v/>
      </c>
      <c r="C20" s="473">
        <f>IF(D11="","-",+C19+1)</f>
        <v>2021</v>
      </c>
      <c r="D20" s="484">
        <f>IF(F19+SUM(E$17:E19)=D$10,F19,D$10-SUM(E$17:E19))</f>
        <v>229766.66666666666</v>
      </c>
      <c r="E20" s="485">
        <f t="shared" si="4"/>
        <v>5422.2222222222226</v>
      </c>
      <c r="F20" s="486">
        <f t="shared" si="5"/>
        <v>224344.44444444444</v>
      </c>
      <c r="G20" s="487">
        <f t="shared" si="6"/>
        <v>36150.878956222048</v>
      </c>
      <c r="H20" s="456">
        <f t="shared" si="7"/>
        <v>36150.878956222048</v>
      </c>
      <c r="I20" s="476">
        <f t="shared" si="0"/>
        <v>0</v>
      </c>
      <c r="J20" s="476"/>
      <c r="K20" s="488"/>
      <c r="L20" s="479">
        <f t="shared" si="1"/>
        <v>0</v>
      </c>
      <c r="M20" s="488"/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8"/>
        <v/>
      </c>
      <c r="C21" s="473">
        <f>IF(D11="","-",+C20+1)</f>
        <v>2022</v>
      </c>
      <c r="D21" s="484">
        <f>IF(F20+SUM(E$17:E20)=D$10,F20,D$10-SUM(E$17:E20))</f>
        <v>224344.44444444444</v>
      </c>
      <c r="E21" s="485">
        <f t="shared" si="4"/>
        <v>5422.2222222222226</v>
      </c>
      <c r="F21" s="486">
        <f t="shared" si="5"/>
        <v>218922.22222222222</v>
      </c>
      <c r="G21" s="487">
        <f t="shared" si="6"/>
        <v>35417.060287947425</v>
      </c>
      <c r="H21" s="456">
        <f t="shared" si="7"/>
        <v>35417.060287947425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8"/>
        <v/>
      </c>
      <c r="C22" s="473">
        <f>IF(D11="","-",+C21+1)</f>
        <v>2023</v>
      </c>
      <c r="D22" s="484">
        <f>IF(F21+SUM(E$17:E21)=D$10,F21,D$10-SUM(E$17:E21))</f>
        <v>218922.22222222222</v>
      </c>
      <c r="E22" s="485">
        <f t="shared" si="4"/>
        <v>5422.2222222222226</v>
      </c>
      <c r="F22" s="486">
        <f t="shared" si="5"/>
        <v>213500</v>
      </c>
      <c r="G22" s="487">
        <f t="shared" si="6"/>
        <v>34683.241619672808</v>
      </c>
      <c r="H22" s="456">
        <f t="shared" si="7"/>
        <v>34683.241619672808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8"/>
        <v/>
      </c>
      <c r="C23" s="473">
        <f>IF(D11="","-",+C22+1)</f>
        <v>2024</v>
      </c>
      <c r="D23" s="484">
        <f>IF(F22+SUM(E$17:E22)=D$10,F22,D$10-SUM(E$17:E22))</f>
        <v>213500</v>
      </c>
      <c r="E23" s="485">
        <f t="shared" si="4"/>
        <v>5422.2222222222226</v>
      </c>
      <c r="F23" s="486">
        <f t="shared" si="5"/>
        <v>208077.77777777778</v>
      </c>
      <c r="G23" s="487">
        <f t="shared" si="6"/>
        <v>33949.422951398185</v>
      </c>
      <c r="H23" s="456">
        <f t="shared" si="7"/>
        <v>33949.422951398185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8"/>
        <v/>
      </c>
      <c r="C24" s="473">
        <f>IF(D11="","-",+C23+1)</f>
        <v>2025</v>
      </c>
      <c r="D24" s="484">
        <f>IF(F23+SUM(E$17:E23)=D$10,F23,D$10-SUM(E$17:E23))</f>
        <v>208077.77777777778</v>
      </c>
      <c r="E24" s="485">
        <f t="shared" si="4"/>
        <v>5422.2222222222226</v>
      </c>
      <c r="F24" s="486">
        <f t="shared" si="5"/>
        <v>202655.55555555556</v>
      </c>
      <c r="G24" s="487">
        <f t="shared" si="6"/>
        <v>33215.604283123561</v>
      </c>
      <c r="H24" s="456">
        <f t="shared" si="7"/>
        <v>33215.604283123561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8"/>
        <v/>
      </c>
      <c r="C25" s="473">
        <f>IF(D11="","-",+C24+1)</f>
        <v>2026</v>
      </c>
      <c r="D25" s="484">
        <f>IF(F24+SUM(E$17:E24)=D$10,F24,D$10-SUM(E$17:E24))</f>
        <v>202655.55555555556</v>
      </c>
      <c r="E25" s="485">
        <f t="shared" si="4"/>
        <v>5422.2222222222226</v>
      </c>
      <c r="F25" s="486">
        <f t="shared" si="5"/>
        <v>197233.33333333334</v>
      </c>
      <c r="G25" s="487">
        <f t="shared" si="6"/>
        <v>32481.785614848937</v>
      </c>
      <c r="H25" s="456">
        <f t="shared" si="7"/>
        <v>32481.785614848937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8"/>
        <v/>
      </c>
      <c r="C26" s="473">
        <f>IF(D11="","-",+C25+1)</f>
        <v>2027</v>
      </c>
      <c r="D26" s="484">
        <f>IF(F25+SUM(E$17:E25)=D$10,F25,D$10-SUM(E$17:E25))</f>
        <v>197233.33333333334</v>
      </c>
      <c r="E26" s="485">
        <f t="shared" si="4"/>
        <v>5422.2222222222226</v>
      </c>
      <c r="F26" s="486">
        <f t="shared" si="5"/>
        <v>191811.11111111112</v>
      </c>
      <c r="G26" s="487">
        <f t="shared" si="6"/>
        <v>31747.966946574317</v>
      </c>
      <c r="H26" s="456">
        <f t="shared" si="7"/>
        <v>31747.966946574317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8"/>
        <v/>
      </c>
      <c r="C27" s="473">
        <f>IF(D11="","-",+C26+1)</f>
        <v>2028</v>
      </c>
      <c r="D27" s="484">
        <f>IF(F26+SUM(E$17:E26)=D$10,F26,D$10-SUM(E$17:E26))</f>
        <v>191811.11111111112</v>
      </c>
      <c r="E27" s="485">
        <f t="shared" si="4"/>
        <v>5422.2222222222226</v>
      </c>
      <c r="F27" s="486">
        <f t="shared" si="5"/>
        <v>186388.88888888891</v>
      </c>
      <c r="G27" s="487">
        <f t="shared" si="6"/>
        <v>31014.14827829969</v>
      </c>
      <c r="H27" s="456">
        <f t="shared" si="7"/>
        <v>31014.14827829969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8"/>
        <v/>
      </c>
      <c r="C28" s="473">
        <f>IF(D11="","-",+C27+1)</f>
        <v>2029</v>
      </c>
      <c r="D28" s="484">
        <f>IF(F27+SUM(E$17:E27)=D$10,F27,D$10-SUM(E$17:E27))</f>
        <v>186388.88888888891</v>
      </c>
      <c r="E28" s="485">
        <f t="shared" si="4"/>
        <v>5422.2222222222226</v>
      </c>
      <c r="F28" s="486">
        <f t="shared" si="5"/>
        <v>180966.66666666669</v>
      </c>
      <c r="G28" s="487">
        <f t="shared" si="6"/>
        <v>30280.329610025074</v>
      </c>
      <c r="H28" s="456">
        <f t="shared" si="7"/>
        <v>30280.329610025074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8"/>
        <v/>
      </c>
      <c r="C29" s="473">
        <f>IF(D11="","-",+C28+1)</f>
        <v>2030</v>
      </c>
      <c r="D29" s="484">
        <f>IF(F28+SUM(E$17:E28)=D$10,F28,D$10-SUM(E$17:E28))</f>
        <v>180966.66666666669</v>
      </c>
      <c r="E29" s="485">
        <f t="shared" si="4"/>
        <v>5422.2222222222226</v>
      </c>
      <c r="F29" s="486">
        <f t="shared" si="5"/>
        <v>175544.44444444447</v>
      </c>
      <c r="G29" s="487">
        <f t="shared" si="6"/>
        <v>29546.510941750446</v>
      </c>
      <c r="H29" s="456">
        <f t="shared" si="7"/>
        <v>29546.510941750446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8"/>
        <v/>
      </c>
      <c r="C30" s="473">
        <f>IF(D11="","-",+C29+1)</f>
        <v>2031</v>
      </c>
      <c r="D30" s="484">
        <f>IF(F29+SUM(E$17:E29)=D$10,F29,D$10-SUM(E$17:E29))</f>
        <v>175544.44444444447</v>
      </c>
      <c r="E30" s="485">
        <f t="shared" si="4"/>
        <v>5422.2222222222226</v>
      </c>
      <c r="F30" s="486">
        <f t="shared" si="5"/>
        <v>170122.22222222225</v>
      </c>
      <c r="G30" s="487">
        <f t="shared" si="6"/>
        <v>28812.69227347583</v>
      </c>
      <c r="H30" s="456">
        <f t="shared" si="7"/>
        <v>28812.69227347583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8"/>
        <v/>
      </c>
      <c r="C31" s="473">
        <f>IF(D11="","-",+C30+1)</f>
        <v>2032</v>
      </c>
      <c r="D31" s="484">
        <f>IF(F30+SUM(E$17:E30)=D$10,F30,D$10-SUM(E$17:E30))</f>
        <v>170122.22222222225</v>
      </c>
      <c r="E31" s="485">
        <f t="shared" si="4"/>
        <v>5422.2222222222226</v>
      </c>
      <c r="F31" s="486">
        <f t="shared" si="5"/>
        <v>164700.00000000003</v>
      </c>
      <c r="G31" s="487">
        <f t="shared" si="6"/>
        <v>28078.873605201203</v>
      </c>
      <c r="H31" s="456">
        <f t="shared" si="7"/>
        <v>28078.873605201203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8"/>
        <v/>
      </c>
      <c r="C32" s="473">
        <f>IF(D11="","-",+C31+1)</f>
        <v>2033</v>
      </c>
      <c r="D32" s="484">
        <f>IF(F31+SUM(E$17:E31)=D$10,F31,D$10-SUM(E$17:E31))</f>
        <v>164700.00000000003</v>
      </c>
      <c r="E32" s="485">
        <f t="shared" si="4"/>
        <v>5422.2222222222226</v>
      </c>
      <c r="F32" s="486">
        <f t="shared" si="5"/>
        <v>159277.77777777781</v>
      </c>
      <c r="G32" s="487">
        <f t="shared" si="6"/>
        <v>27345.054936926583</v>
      </c>
      <c r="H32" s="456">
        <f t="shared" si="7"/>
        <v>27345.054936926583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8"/>
        <v/>
      </c>
      <c r="C33" s="473">
        <f>IF(D11="","-",+C32+1)</f>
        <v>2034</v>
      </c>
      <c r="D33" s="484">
        <f>IF(F32+SUM(E$17:E32)=D$10,F32,D$10-SUM(E$17:E32))</f>
        <v>159277.77777777781</v>
      </c>
      <c r="E33" s="485">
        <f t="shared" si="4"/>
        <v>5422.2222222222226</v>
      </c>
      <c r="F33" s="486">
        <f t="shared" si="5"/>
        <v>153855.55555555559</v>
      </c>
      <c r="G33" s="487">
        <f t="shared" si="6"/>
        <v>26611.236268651959</v>
      </c>
      <c r="H33" s="456">
        <f t="shared" si="7"/>
        <v>26611.236268651959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8"/>
        <v/>
      </c>
      <c r="C34" s="473">
        <f>IF(D11="","-",+C33+1)</f>
        <v>2035</v>
      </c>
      <c r="D34" s="484">
        <f>IF(F33+SUM(E$17:E33)=D$10,F33,D$10-SUM(E$17:E33))</f>
        <v>153855.55555555559</v>
      </c>
      <c r="E34" s="485">
        <f t="shared" si="4"/>
        <v>5422.2222222222226</v>
      </c>
      <c r="F34" s="486">
        <f t="shared" si="5"/>
        <v>148433.33333333337</v>
      </c>
      <c r="G34" s="487">
        <f t="shared" si="6"/>
        <v>25877.417600377339</v>
      </c>
      <c r="H34" s="456">
        <f t="shared" si="7"/>
        <v>25877.417600377339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8"/>
        <v/>
      </c>
      <c r="C35" s="473">
        <f>IF(D11="","-",+C34+1)</f>
        <v>2036</v>
      </c>
      <c r="D35" s="484">
        <f>IF(F34+SUM(E$17:E34)=D$10,F34,D$10-SUM(E$17:E34))</f>
        <v>148433.33333333337</v>
      </c>
      <c r="E35" s="485">
        <f t="shared" si="4"/>
        <v>5422.2222222222226</v>
      </c>
      <c r="F35" s="486">
        <f t="shared" si="5"/>
        <v>143011.11111111115</v>
      </c>
      <c r="G35" s="487">
        <f t="shared" si="6"/>
        <v>25143.598932102712</v>
      </c>
      <c r="H35" s="456">
        <f t="shared" si="7"/>
        <v>25143.598932102712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8"/>
        <v/>
      </c>
      <c r="C36" s="473">
        <f>IF(D11="","-",+C35+1)</f>
        <v>2037</v>
      </c>
      <c r="D36" s="484">
        <f>IF(F35+SUM(E$17:E35)=D$10,F35,D$10-SUM(E$17:E35))</f>
        <v>143011.11111111115</v>
      </c>
      <c r="E36" s="485">
        <f t="shared" si="4"/>
        <v>5422.2222222222226</v>
      </c>
      <c r="F36" s="486">
        <f t="shared" si="5"/>
        <v>137588.88888888893</v>
      </c>
      <c r="G36" s="487">
        <f t="shared" si="6"/>
        <v>24409.780263828095</v>
      </c>
      <c r="H36" s="456">
        <f t="shared" si="7"/>
        <v>24409.780263828095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8"/>
        <v/>
      </c>
      <c r="C37" s="473">
        <f>IF(D11="","-",+C36+1)</f>
        <v>2038</v>
      </c>
      <c r="D37" s="484">
        <f>IF(F36+SUM(E$17:E36)=D$10,F36,D$10-SUM(E$17:E36))</f>
        <v>137588.88888888893</v>
      </c>
      <c r="E37" s="485">
        <f t="shared" si="4"/>
        <v>5422.2222222222226</v>
      </c>
      <c r="F37" s="486">
        <f t="shared" si="5"/>
        <v>132166.66666666672</v>
      </c>
      <c r="G37" s="487">
        <f t="shared" si="6"/>
        <v>23675.961595553468</v>
      </c>
      <c r="H37" s="456">
        <f t="shared" si="7"/>
        <v>23675.961595553468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8"/>
        <v/>
      </c>
      <c r="C38" s="473">
        <f>IF(D11="","-",+C37+1)</f>
        <v>2039</v>
      </c>
      <c r="D38" s="484">
        <f>IF(F37+SUM(E$17:E37)=D$10,F37,D$10-SUM(E$17:E37))</f>
        <v>132166.66666666672</v>
      </c>
      <c r="E38" s="485">
        <f t="shared" si="4"/>
        <v>5422.2222222222226</v>
      </c>
      <c r="F38" s="486">
        <f t="shared" si="5"/>
        <v>126744.4444444445</v>
      </c>
      <c r="G38" s="487">
        <f t="shared" si="6"/>
        <v>22942.142927278848</v>
      </c>
      <c r="H38" s="456">
        <f t="shared" si="7"/>
        <v>22942.142927278848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8"/>
        <v/>
      </c>
      <c r="C39" s="473">
        <f>IF(D11="","-",+C38+1)</f>
        <v>2040</v>
      </c>
      <c r="D39" s="484">
        <f>IF(F38+SUM(E$17:E38)=D$10,F38,D$10-SUM(E$17:E38))</f>
        <v>126744.4444444445</v>
      </c>
      <c r="E39" s="485">
        <f t="shared" si="4"/>
        <v>5422.2222222222226</v>
      </c>
      <c r="F39" s="486">
        <f t="shared" si="5"/>
        <v>121322.22222222228</v>
      </c>
      <c r="G39" s="487">
        <f t="shared" si="6"/>
        <v>22208.324259004225</v>
      </c>
      <c r="H39" s="456">
        <f t="shared" si="7"/>
        <v>22208.324259004225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8"/>
        <v/>
      </c>
      <c r="C40" s="473">
        <f>IF(D11="","-",+C39+1)</f>
        <v>2041</v>
      </c>
      <c r="D40" s="484">
        <f>IF(F39+SUM(E$17:E39)=D$10,F39,D$10-SUM(E$17:E39))</f>
        <v>121322.22222222228</v>
      </c>
      <c r="E40" s="485">
        <f t="shared" si="4"/>
        <v>5422.2222222222226</v>
      </c>
      <c r="F40" s="486">
        <f t="shared" si="5"/>
        <v>115900.00000000006</v>
      </c>
      <c r="G40" s="487">
        <f t="shared" si="6"/>
        <v>21474.505590729605</v>
      </c>
      <c r="H40" s="456">
        <f t="shared" si="7"/>
        <v>21474.505590729605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8"/>
        <v/>
      </c>
      <c r="C41" s="473">
        <f>IF(D11="","-",+C40+1)</f>
        <v>2042</v>
      </c>
      <c r="D41" s="484">
        <f>IF(F40+SUM(E$17:E40)=D$10,F40,D$10-SUM(E$17:E40))</f>
        <v>115900.00000000006</v>
      </c>
      <c r="E41" s="485">
        <f t="shared" si="4"/>
        <v>5422.2222222222226</v>
      </c>
      <c r="F41" s="486">
        <f t="shared" si="5"/>
        <v>110477.77777777784</v>
      </c>
      <c r="G41" s="487">
        <f t="shared" si="6"/>
        <v>20740.686922454981</v>
      </c>
      <c r="H41" s="456">
        <f t="shared" si="7"/>
        <v>20740.686922454981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8"/>
        <v/>
      </c>
      <c r="C42" s="473">
        <f>IF(D11="","-",+C41+1)</f>
        <v>2043</v>
      </c>
      <c r="D42" s="484">
        <f>IF(F41+SUM(E$17:E41)=D$10,F41,D$10-SUM(E$17:E41))</f>
        <v>110477.77777777784</v>
      </c>
      <c r="E42" s="485">
        <f t="shared" si="4"/>
        <v>5422.2222222222226</v>
      </c>
      <c r="F42" s="486">
        <f t="shared" si="5"/>
        <v>105055.55555555562</v>
      </c>
      <c r="G42" s="487">
        <f t="shared" si="6"/>
        <v>20006.868254180357</v>
      </c>
      <c r="H42" s="456">
        <f t="shared" si="7"/>
        <v>20006.868254180357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8"/>
        <v/>
      </c>
      <c r="C43" s="473">
        <f>IF(D11="","-",+C42+1)</f>
        <v>2044</v>
      </c>
      <c r="D43" s="484">
        <f>IF(F42+SUM(E$17:E42)=D$10,F42,D$10-SUM(E$17:E42))</f>
        <v>105055.55555555562</v>
      </c>
      <c r="E43" s="485">
        <f t="shared" si="4"/>
        <v>5422.2222222222226</v>
      </c>
      <c r="F43" s="486">
        <f t="shared" si="5"/>
        <v>99633.333333333401</v>
      </c>
      <c r="G43" s="487">
        <f t="shared" si="6"/>
        <v>19273.049585905734</v>
      </c>
      <c r="H43" s="456">
        <f t="shared" si="7"/>
        <v>19273.049585905734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8"/>
        <v/>
      </c>
      <c r="C44" s="473">
        <f>IF(D11="","-",+C43+1)</f>
        <v>2045</v>
      </c>
      <c r="D44" s="484">
        <f>IF(F43+SUM(E$17:E43)=D$10,F43,D$10-SUM(E$17:E43))</f>
        <v>99633.333333333401</v>
      </c>
      <c r="E44" s="485">
        <f t="shared" si="4"/>
        <v>5422.2222222222226</v>
      </c>
      <c r="F44" s="486">
        <f t="shared" si="5"/>
        <v>94211.111111111182</v>
      </c>
      <c r="G44" s="487">
        <f t="shared" si="6"/>
        <v>18539.230917631114</v>
      </c>
      <c r="H44" s="456">
        <f t="shared" si="7"/>
        <v>18539.230917631114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8"/>
        <v/>
      </c>
      <c r="C45" s="473">
        <f>IF(D11="","-",+C44+1)</f>
        <v>2046</v>
      </c>
      <c r="D45" s="484">
        <f>IF(F44+SUM(E$17:E44)=D$10,F44,D$10-SUM(E$17:E44))</f>
        <v>94211.111111111182</v>
      </c>
      <c r="E45" s="485">
        <f t="shared" si="4"/>
        <v>5422.2222222222226</v>
      </c>
      <c r="F45" s="486">
        <f t="shared" si="5"/>
        <v>88788.888888888963</v>
      </c>
      <c r="G45" s="487">
        <f t="shared" si="6"/>
        <v>17805.412249356494</v>
      </c>
      <c r="H45" s="456">
        <f t="shared" si="7"/>
        <v>17805.412249356494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8"/>
        <v/>
      </c>
      <c r="C46" s="473">
        <f>IF(D11="","-",+C45+1)</f>
        <v>2047</v>
      </c>
      <c r="D46" s="484">
        <f>IF(F45+SUM(E$17:E45)=D$10,F45,D$10-SUM(E$17:E45))</f>
        <v>88788.888888888963</v>
      </c>
      <c r="E46" s="485">
        <f t="shared" si="4"/>
        <v>5422.2222222222226</v>
      </c>
      <c r="F46" s="486">
        <f t="shared" si="5"/>
        <v>83366.666666666744</v>
      </c>
      <c r="G46" s="487">
        <f t="shared" si="6"/>
        <v>17071.59358108187</v>
      </c>
      <c r="H46" s="456">
        <f t="shared" si="7"/>
        <v>17071.59358108187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8"/>
        <v/>
      </c>
      <c r="C47" s="473">
        <f>IF(D11="","-",+C46+1)</f>
        <v>2048</v>
      </c>
      <c r="D47" s="484">
        <f>IF(F46+SUM(E$17:E46)=D$10,F46,D$10-SUM(E$17:E46))</f>
        <v>83366.666666666744</v>
      </c>
      <c r="E47" s="485">
        <f t="shared" si="4"/>
        <v>5422.2222222222226</v>
      </c>
      <c r="F47" s="486">
        <f t="shared" si="5"/>
        <v>77944.444444444525</v>
      </c>
      <c r="G47" s="487">
        <f t="shared" si="6"/>
        <v>16337.774912807246</v>
      </c>
      <c r="H47" s="456">
        <f t="shared" si="7"/>
        <v>16337.774912807246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8"/>
        <v/>
      </c>
      <c r="C48" s="473">
        <f>IF(D11="","-",+C47+1)</f>
        <v>2049</v>
      </c>
      <c r="D48" s="484">
        <f>IF(F47+SUM(E$17:E47)=D$10,F47,D$10-SUM(E$17:E47))</f>
        <v>77944.444444444525</v>
      </c>
      <c r="E48" s="485">
        <f t="shared" si="4"/>
        <v>5422.2222222222226</v>
      </c>
      <c r="F48" s="486">
        <f t="shared" si="5"/>
        <v>72522.222222222306</v>
      </c>
      <c r="G48" s="487">
        <f t="shared" si="6"/>
        <v>15603.956244532625</v>
      </c>
      <c r="H48" s="456">
        <f t="shared" si="7"/>
        <v>15603.956244532625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8"/>
        <v/>
      </c>
      <c r="C49" s="473">
        <f>IF(D11="","-",+C48+1)</f>
        <v>2050</v>
      </c>
      <c r="D49" s="484">
        <f>IF(F48+SUM(E$17:E48)=D$10,F48,D$10-SUM(E$17:E48))</f>
        <v>72522.222222222306</v>
      </c>
      <c r="E49" s="485">
        <f t="shared" si="4"/>
        <v>5422.2222222222226</v>
      </c>
      <c r="F49" s="486">
        <f t="shared" si="5"/>
        <v>67100.000000000087</v>
      </c>
      <c r="G49" s="487">
        <f t="shared" si="6"/>
        <v>14870.137576258003</v>
      </c>
      <c r="H49" s="456">
        <f t="shared" si="7"/>
        <v>14870.137576258003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8"/>
        <v/>
      </c>
      <c r="C50" s="473">
        <f>IF(D11="","-",+C49+1)</f>
        <v>2051</v>
      </c>
      <c r="D50" s="484">
        <f>IF(F49+SUM(E$17:E49)=D$10,F49,D$10-SUM(E$17:E49))</f>
        <v>67100.000000000087</v>
      </c>
      <c r="E50" s="485">
        <f t="shared" si="4"/>
        <v>5422.2222222222226</v>
      </c>
      <c r="F50" s="486">
        <f t="shared" si="5"/>
        <v>61677.777777777868</v>
      </c>
      <c r="G50" s="487">
        <f t="shared" si="6"/>
        <v>14136.318907983379</v>
      </c>
      <c r="H50" s="456">
        <f t="shared" si="7"/>
        <v>14136.318907983379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8"/>
        <v/>
      </c>
      <c r="C51" s="473">
        <f>IF(D11="","-",+C50+1)</f>
        <v>2052</v>
      </c>
      <c r="D51" s="484">
        <f>IF(F50+SUM(E$17:E50)=D$10,F50,D$10-SUM(E$17:E50))</f>
        <v>61677.777777777868</v>
      </c>
      <c r="E51" s="485">
        <f t="shared" si="4"/>
        <v>5422.2222222222226</v>
      </c>
      <c r="F51" s="486">
        <f t="shared" si="5"/>
        <v>56255.555555555649</v>
      </c>
      <c r="G51" s="487">
        <f t="shared" si="6"/>
        <v>13402.500239708757</v>
      </c>
      <c r="H51" s="456">
        <f t="shared" si="7"/>
        <v>13402.500239708757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8"/>
        <v/>
      </c>
      <c r="C52" s="473">
        <f>IF(D11="","-",+C51+1)</f>
        <v>2053</v>
      </c>
      <c r="D52" s="484">
        <f>IF(F51+SUM(E$17:E51)=D$10,F51,D$10-SUM(E$17:E51))</f>
        <v>56255.555555555649</v>
      </c>
      <c r="E52" s="485">
        <f t="shared" si="4"/>
        <v>5422.2222222222226</v>
      </c>
      <c r="F52" s="486">
        <f t="shared" si="5"/>
        <v>50833.33333333343</v>
      </c>
      <c r="G52" s="487">
        <f t="shared" si="6"/>
        <v>12668.681571434136</v>
      </c>
      <c r="H52" s="456">
        <f t="shared" si="7"/>
        <v>12668.681571434136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8"/>
        <v/>
      </c>
      <c r="C53" s="473">
        <f>IF(D11="","-",+C52+1)</f>
        <v>2054</v>
      </c>
      <c r="D53" s="484">
        <f>IF(F52+SUM(E$17:E52)=D$10,F52,D$10-SUM(E$17:E52))</f>
        <v>50833.33333333343</v>
      </c>
      <c r="E53" s="485">
        <f t="shared" si="4"/>
        <v>5422.2222222222226</v>
      </c>
      <c r="F53" s="486">
        <f t="shared" si="5"/>
        <v>45411.111111111211</v>
      </c>
      <c r="G53" s="487">
        <f t="shared" si="6"/>
        <v>11934.862903159512</v>
      </c>
      <c r="H53" s="456">
        <f t="shared" si="7"/>
        <v>11934.862903159512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8"/>
        <v/>
      </c>
      <c r="C54" s="473">
        <f>IF(D11="","-",+C53+1)</f>
        <v>2055</v>
      </c>
      <c r="D54" s="484">
        <f>IF(F53+SUM(E$17:E53)=D$10,F53,D$10-SUM(E$17:E53))</f>
        <v>45411.111111111211</v>
      </c>
      <c r="E54" s="485">
        <f t="shared" si="4"/>
        <v>5422.2222222222226</v>
      </c>
      <c r="F54" s="486">
        <f t="shared" si="5"/>
        <v>39988.888888888992</v>
      </c>
      <c r="G54" s="487">
        <f t="shared" si="6"/>
        <v>11201.044234884892</v>
      </c>
      <c r="H54" s="456">
        <f t="shared" si="7"/>
        <v>11201.044234884892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8"/>
        <v/>
      </c>
      <c r="C55" s="473">
        <f>IF(D11="","-",+C54+1)</f>
        <v>2056</v>
      </c>
      <c r="D55" s="484">
        <f>IF(F54+SUM(E$17:E54)=D$10,F54,D$10-SUM(E$17:E54))</f>
        <v>39988.888888888992</v>
      </c>
      <c r="E55" s="485">
        <f t="shared" si="4"/>
        <v>5422.2222222222226</v>
      </c>
      <c r="F55" s="486">
        <f t="shared" si="5"/>
        <v>34566.666666666773</v>
      </c>
      <c r="G55" s="487">
        <f t="shared" si="6"/>
        <v>10467.225566610268</v>
      </c>
      <c r="H55" s="456">
        <f t="shared" si="7"/>
        <v>10467.225566610268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8"/>
        <v/>
      </c>
      <c r="C56" s="473">
        <f>IF(D11="","-",+C55+1)</f>
        <v>2057</v>
      </c>
      <c r="D56" s="484">
        <f>IF(F55+SUM(E$17:E55)=D$10,F55,D$10-SUM(E$17:E55))</f>
        <v>34566.666666666773</v>
      </c>
      <c r="E56" s="485">
        <f t="shared" si="4"/>
        <v>5422.2222222222226</v>
      </c>
      <c r="F56" s="486">
        <f t="shared" si="5"/>
        <v>29144.444444444551</v>
      </c>
      <c r="G56" s="487">
        <f t="shared" si="6"/>
        <v>9733.4068983356447</v>
      </c>
      <c r="H56" s="456">
        <f t="shared" si="7"/>
        <v>9733.4068983356447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8"/>
        <v/>
      </c>
      <c r="C57" s="473">
        <f>IF(D11="","-",+C56+1)</f>
        <v>2058</v>
      </c>
      <c r="D57" s="484">
        <f>IF(F56+SUM(E$17:E56)=D$10,F56,D$10-SUM(E$17:E56))</f>
        <v>29144.444444444551</v>
      </c>
      <c r="E57" s="485">
        <f t="shared" si="4"/>
        <v>5422.2222222222226</v>
      </c>
      <c r="F57" s="486">
        <f t="shared" si="5"/>
        <v>23722.222222222328</v>
      </c>
      <c r="G57" s="487">
        <f t="shared" si="6"/>
        <v>8999.5882300610228</v>
      </c>
      <c r="H57" s="456">
        <f t="shared" si="7"/>
        <v>8999.5882300610228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8"/>
        <v/>
      </c>
      <c r="C58" s="473">
        <f>IF(D11="","-",+C57+1)</f>
        <v>2059</v>
      </c>
      <c r="D58" s="484">
        <f>IF(F57+SUM(E$17:E57)=D$10,F57,D$10-SUM(E$17:E57))</f>
        <v>23722.222222222328</v>
      </c>
      <c r="E58" s="485">
        <f t="shared" si="4"/>
        <v>5422.2222222222226</v>
      </c>
      <c r="F58" s="486">
        <f t="shared" si="5"/>
        <v>18300.000000000106</v>
      </c>
      <c r="G58" s="487">
        <f t="shared" si="6"/>
        <v>8265.769561786401</v>
      </c>
      <c r="H58" s="456">
        <f t="shared" si="7"/>
        <v>8265.769561786401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8"/>
        <v/>
      </c>
      <c r="C59" s="473">
        <f>IF(D11="","-",+C58+1)</f>
        <v>2060</v>
      </c>
      <c r="D59" s="484">
        <f>IF(F58+SUM(E$17:E58)=D$10,F58,D$10-SUM(E$17:E58))</f>
        <v>18300.000000000106</v>
      </c>
      <c r="E59" s="485">
        <f t="shared" si="4"/>
        <v>5422.2222222222226</v>
      </c>
      <c r="F59" s="486">
        <f t="shared" si="5"/>
        <v>12877.777777777883</v>
      </c>
      <c r="G59" s="487">
        <f t="shared" si="6"/>
        <v>7531.9508935117774</v>
      </c>
      <c r="H59" s="456">
        <f t="shared" si="7"/>
        <v>7531.9508935117774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8"/>
        <v/>
      </c>
      <c r="C60" s="473">
        <f>IF(D11="","-",+C59+1)</f>
        <v>2061</v>
      </c>
      <c r="D60" s="484">
        <f>IF(F59+SUM(E$17:E59)=D$10,F59,D$10-SUM(E$17:E59))</f>
        <v>12877.777777777883</v>
      </c>
      <c r="E60" s="485">
        <f t="shared" si="4"/>
        <v>5422.2222222222226</v>
      </c>
      <c r="F60" s="486">
        <f t="shared" si="5"/>
        <v>7455.5555555556602</v>
      </c>
      <c r="G60" s="487">
        <f t="shared" si="6"/>
        <v>6798.1322252371547</v>
      </c>
      <c r="H60" s="456">
        <f t="shared" si="7"/>
        <v>6798.1322252371547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8"/>
        <v/>
      </c>
      <c r="C61" s="473">
        <f>IF(D11="","-",+C60+1)</f>
        <v>2062</v>
      </c>
      <c r="D61" s="484">
        <f>IF(F60+SUM(E$17:E60)=D$10,F60,D$10-SUM(E$17:E60))</f>
        <v>7455.5555555556602</v>
      </c>
      <c r="E61" s="485">
        <f t="shared" si="4"/>
        <v>5422.2222222222226</v>
      </c>
      <c r="F61" s="486">
        <f t="shared" si="5"/>
        <v>2033.3333333334376</v>
      </c>
      <c r="G61" s="487">
        <f t="shared" si="6"/>
        <v>6064.3135569625319</v>
      </c>
      <c r="H61" s="456">
        <f t="shared" si="7"/>
        <v>6064.3135569625319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8"/>
        <v/>
      </c>
      <c r="C62" s="473">
        <f>IF(D11="","-",+C61+1)</f>
        <v>2063</v>
      </c>
      <c r="D62" s="484">
        <f>IF(F61+SUM(E$17:E61)=D$10,F61,D$10-SUM(E$17:E61))</f>
        <v>2033.3333333334376</v>
      </c>
      <c r="E62" s="485">
        <f t="shared" si="4"/>
        <v>2033.3333333334376</v>
      </c>
      <c r="F62" s="486">
        <f t="shared" si="5"/>
        <v>0</v>
      </c>
      <c r="G62" s="487">
        <f t="shared" si="6"/>
        <v>2170.9243336349364</v>
      </c>
      <c r="H62" s="456">
        <f t="shared" si="7"/>
        <v>2170.9243336349364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8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4"/>
        <v>0</v>
      </c>
      <c r="F63" s="486">
        <f t="shared" si="5"/>
        <v>0</v>
      </c>
      <c r="G63" s="487">
        <f t="shared" si="6"/>
        <v>0</v>
      </c>
      <c r="H63" s="456">
        <f t="shared" si="7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8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4"/>
        <v>0</v>
      </c>
      <c r="F64" s="486">
        <f t="shared" si="5"/>
        <v>0</v>
      </c>
      <c r="G64" s="487">
        <f t="shared" si="6"/>
        <v>0</v>
      </c>
      <c r="H64" s="456">
        <f t="shared" si="7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8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4"/>
        <v>0</v>
      </c>
      <c r="F65" s="486">
        <f t="shared" si="5"/>
        <v>0</v>
      </c>
      <c r="G65" s="487">
        <f t="shared" si="6"/>
        <v>0</v>
      </c>
      <c r="H65" s="456">
        <f t="shared" si="7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8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4"/>
        <v>0</v>
      </c>
      <c r="F66" s="486">
        <f t="shared" si="5"/>
        <v>0</v>
      </c>
      <c r="G66" s="487">
        <f t="shared" si="6"/>
        <v>0</v>
      </c>
      <c r="H66" s="456">
        <f t="shared" si="7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8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4"/>
        <v>0</v>
      </c>
      <c r="F67" s="486">
        <f t="shared" si="5"/>
        <v>0</v>
      </c>
      <c r="G67" s="487">
        <f t="shared" si="6"/>
        <v>0</v>
      </c>
      <c r="H67" s="456">
        <f t="shared" si="7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8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4"/>
        <v>0</v>
      </c>
      <c r="F68" s="486">
        <f t="shared" si="5"/>
        <v>0</v>
      </c>
      <c r="G68" s="487">
        <f t="shared" si="6"/>
        <v>0</v>
      </c>
      <c r="H68" s="456">
        <f t="shared" si="7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8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4"/>
        <v>0</v>
      </c>
      <c r="F69" s="486">
        <f t="shared" si="5"/>
        <v>0</v>
      </c>
      <c r="G69" s="487">
        <f t="shared" si="6"/>
        <v>0</v>
      </c>
      <c r="H69" s="456">
        <f t="shared" si="7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8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4"/>
        <v>0</v>
      </c>
      <c r="F70" s="486">
        <f t="shared" si="5"/>
        <v>0</v>
      </c>
      <c r="G70" s="487">
        <f t="shared" si="6"/>
        <v>0</v>
      </c>
      <c r="H70" s="456">
        <f t="shared" si="7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8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4"/>
        <v>0</v>
      </c>
      <c r="F71" s="486">
        <f t="shared" si="5"/>
        <v>0</v>
      </c>
      <c r="G71" s="487">
        <f t="shared" si="6"/>
        <v>0</v>
      </c>
      <c r="H71" s="456">
        <f t="shared" si="7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8"/>
        <v/>
      </c>
      <c r="C72" s="490">
        <f>IF(D11="","-",+C71+1)</f>
        <v>2073</v>
      </c>
      <c r="D72" s="613">
        <f>IF(F71+SUM(E$17:E71)=D$10,F71,D$10-SUM(E$17:E71))</f>
        <v>0</v>
      </c>
      <c r="E72" s="492">
        <f t="shared" si="4"/>
        <v>0</v>
      </c>
      <c r="F72" s="491">
        <f t="shared" si="5"/>
        <v>0</v>
      </c>
      <c r="G72" s="545">
        <f t="shared" si="6"/>
        <v>0</v>
      </c>
      <c r="H72" s="436">
        <f t="shared" si="7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243999.99999999997</v>
      </c>
      <c r="F73" s="348"/>
      <c r="G73" s="348">
        <f>SUM(G17:G72)</f>
        <v>975434.9784924679</v>
      </c>
      <c r="H73" s="348">
        <f>SUM(H17:H72)</f>
        <v>975434.9784924679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22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32700.951777404996</v>
      </c>
      <c r="N87" s="509">
        <f>IF(J92&lt;D11,0,VLOOKUP(J92,C17:O72,11))</f>
        <v>32700.951777404996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30511.472087080136</v>
      </c>
      <c r="N88" s="513">
        <f>IF(J92&lt;D11,0,VLOOKUP(J92,C99:P154,7))</f>
        <v>30511.472087080136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Northeastern Station 138 kV Terminal Upgrades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-2189.4796903248607</v>
      </c>
      <c r="N89" s="518">
        <f>+N88-N87</f>
        <v>-2189.4796903248607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TP2015169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244000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6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5951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2837</v>
      </c>
      <c r="F99" s="585">
        <v>241163</v>
      </c>
      <c r="G99" s="609">
        <v>120581.5</v>
      </c>
      <c r="H99" s="588">
        <v>15225.00875134001</v>
      </c>
      <c r="I99" s="608">
        <v>15225.00875134001</v>
      </c>
      <c r="J99" s="479">
        <f t="shared" ref="J99:J130" si="9">+I99-H99</f>
        <v>0</v>
      </c>
      <c r="K99" s="479"/>
      <c r="L99" s="478">
        <f>+H99</f>
        <v>15225.00875134001</v>
      </c>
      <c r="M99" s="478">
        <f t="shared" ref="M99" si="10">IF(L99&lt;&gt;0,+H99-L99,0)</f>
        <v>0</v>
      </c>
      <c r="N99" s="478">
        <f>+I99</f>
        <v>15225.00875134001</v>
      </c>
      <c r="O99" s="478">
        <f t="shared" ref="O99" si="11">IF(N99&lt;&gt;0,+I99-N99,0)</f>
        <v>0</v>
      </c>
      <c r="P99" s="478">
        <f t="shared" ref="P99" si="12">+O99-M99</f>
        <v>0</v>
      </c>
    </row>
    <row r="100" spans="1:16" ht="12.5">
      <c r="B100" s="160" t="str">
        <f>IF(D100=F99,"","IU")</f>
        <v/>
      </c>
      <c r="C100" s="473">
        <f>IF(D93="","-",+C99+1)</f>
        <v>2019</v>
      </c>
      <c r="D100" s="347">
        <f>IF(F99+SUM(E$99:E99)=D$92,F99,D$92-SUM(E$99:E99))</f>
        <v>241163</v>
      </c>
      <c r="E100" s="485">
        <f>IF(+J$96&lt;F99,J$96,D100)</f>
        <v>5951</v>
      </c>
      <c r="F100" s="486">
        <f>+D100-E100</f>
        <v>235212</v>
      </c>
      <c r="G100" s="486">
        <f>+(F100+D100)/2</f>
        <v>238187.5</v>
      </c>
      <c r="H100" s="614">
        <f t="shared" ref="H100:H154" si="13">+J$94*G100+E100</f>
        <v>30511.472087080136</v>
      </c>
      <c r="I100" s="615">
        <f t="shared" ref="I100:I154" si="14">+J$95*G100+E100</f>
        <v>30511.472087080136</v>
      </c>
      <c r="J100" s="479">
        <f t="shared" si="9"/>
        <v>0</v>
      </c>
      <c r="K100" s="479"/>
      <c r="L100" s="488"/>
      <c r="M100" s="479">
        <f t="shared" ref="M100:M130" si="15">IF(L100&lt;&gt;0,+H100-L100,0)</f>
        <v>0</v>
      </c>
      <c r="N100" s="488"/>
      <c r="O100" s="479">
        <f t="shared" ref="O100:O130" si="16">IF(N100&lt;&gt;0,+I100-N100,0)</f>
        <v>0</v>
      </c>
      <c r="P100" s="479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3">
        <f>IF(D93="","-",+C100+1)</f>
        <v>2020</v>
      </c>
      <c r="D101" s="347">
        <f>IF(F100+SUM(E$99:E100)=D$92,F100,D$92-SUM(E$99:E100))</f>
        <v>235212</v>
      </c>
      <c r="E101" s="485">
        <f t="shared" ref="E101:E154" si="19">IF(+J$96&lt;F100,J$96,D101)</f>
        <v>5951</v>
      </c>
      <c r="F101" s="486">
        <f t="shared" ref="F101:F154" si="20">+D101-E101</f>
        <v>229261</v>
      </c>
      <c r="G101" s="486">
        <f t="shared" ref="G101:G154" si="21">+(F101+D101)/2</f>
        <v>232236.5</v>
      </c>
      <c r="H101" s="614">
        <f t="shared" si="13"/>
        <v>29897.840517874301</v>
      </c>
      <c r="I101" s="615">
        <f t="shared" si="14"/>
        <v>29897.840517874301</v>
      </c>
      <c r="J101" s="479">
        <f t="shared" si="9"/>
        <v>0</v>
      </c>
      <c r="K101" s="479"/>
      <c r="L101" s="488"/>
      <c r="M101" s="479">
        <f t="shared" si="15"/>
        <v>0</v>
      </c>
      <c r="N101" s="488"/>
      <c r="O101" s="479">
        <f t="shared" si="16"/>
        <v>0</v>
      </c>
      <c r="P101" s="479">
        <f t="shared" si="17"/>
        <v>0</v>
      </c>
    </row>
    <row r="102" spans="1:16" ht="12.5">
      <c r="B102" s="160" t="str">
        <f t="shared" si="18"/>
        <v/>
      </c>
      <c r="C102" s="473">
        <f>IF(D93="","-",+C101+1)</f>
        <v>2021</v>
      </c>
      <c r="D102" s="347">
        <f>IF(F101+SUM(E$99:E101)=D$92,F101,D$92-SUM(E$99:E101))</f>
        <v>229261</v>
      </c>
      <c r="E102" s="485">
        <f t="shared" si="19"/>
        <v>5951</v>
      </c>
      <c r="F102" s="486">
        <f t="shared" si="20"/>
        <v>223310</v>
      </c>
      <c r="G102" s="486">
        <f t="shared" si="21"/>
        <v>226285.5</v>
      </c>
      <c r="H102" s="614">
        <f t="shared" si="13"/>
        <v>29284.208948668471</v>
      </c>
      <c r="I102" s="615">
        <f t="shared" si="14"/>
        <v>29284.208948668471</v>
      </c>
      <c r="J102" s="479">
        <f t="shared" si="9"/>
        <v>0</v>
      </c>
      <c r="K102" s="479"/>
      <c r="L102" s="488"/>
      <c r="M102" s="479">
        <f t="shared" si="15"/>
        <v>0</v>
      </c>
      <c r="N102" s="488"/>
      <c r="O102" s="479">
        <f t="shared" si="16"/>
        <v>0</v>
      </c>
      <c r="P102" s="479">
        <f t="shared" si="17"/>
        <v>0</v>
      </c>
    </row>
    <row r="103" spans="1:16" ht="12.5">
      <c r="B103" s="160" t="str">
        <f t="shared" si="18"/>
        <v/>
      </c>
      <c r="C103" s="473">
        <f>IF(D93="","-",+C102+1)</f>
        <v>2022</v>
      </c>
      <c r="D103" s="347">
        <f>IF(F102+SUM(E$99:E102)=D$92,F102,D$92-SUM(E$99:E102))</f>
        <v>223310</v>
      </c>
      <c r="E103" s="485">
        <f t="shared" si="19"/>
        <v>5951</v>
      </c>
      <c r="F103" s="486">
        <f t="shared" si="20"/>
        <v>217359</v>
      </c>
      <c r="G103" s="486">
        <f t="shared" si="21"/>
        <v>220334.5</v>
      </c>
      <c r="H103" s="614">
        <f t="shared" si="13"/>
        <v>28670.57737946264</v>
      </c>
      <c r="I103" s="615">
        <f t="shared" si="14"/>
        <v>28670.57737946264</v>
      </c>
      <c r="J103" s="479">
        <f t="shared" si="9"/>
        <v>0</v>
      </c>
      <c r="K103" s="479"/>
      <c r="L103" s="488"/>
      <c r="M103" s="479">
        <f t="shared" si="15"/>
        <v>0</v>
      </c>
      <c r="N103" s="488"/>
      <c r="O103" s="479">
        <f t="shared" si="16"/>
        <v>0</v>
      </c>
      <c r="P103" s="479">
        <f t="shared" si="17"/>
        <v>0</v>
      </c>
    </row>
    <row r="104" spans="1:16" ht="12.5">
      <c r="B104" s="160" t="str">
        <f t="shared" si="18"/>
        <v/>
      </c>
      <c r="C104" s="473">
        <f>IF(D93="","-",+C103+1)</f>
        <v>2023</v>
      </c>
      <c r="D104" s="347">
        <f>IF(F103+SUM(E$99:E103)=D$92,F103,D$92-SUM(E$99:E103))</f>
        <v>217359</v>
      </c>
      <c r="E104" s="485">
        <f t="shared" si="19"/>
        <v>5951</v>
      </c>
      <c r="F104" s="486">
        <f t="shared" si="20"/>
        <v>211408</v>
      </c>
      <c r="G104" s="486">
        <f t="shared" si="21"/>
        <v>214383.5</v>
      </c>
      <c r="H104" s="614">
        <f t="shared" si="13"/>
        <v>28056.94581025681</v>
      </c>
      <c r="I104" s="615">
        <f t="shared" si="14"/>
        <v>28056.94581025681</v>
      </c>
      <c r="J104" s="479">
        <f t="shared" si="9"/>
        <v>0</v>
      </c>
      <c r="K104" s="479"/>
      <c r="L104" s="488"/>
      <c r="M104" s="479">
        <f t="shared" si="15"/>
        <v>0</v>
      </c>
      <c r="N104" s="488"/>
      <c r="O104" s="479">
        <f t="shared" si="16"/>
        <v>0</v>
      </c>
      <c r="P104" s="479">
        <f t="shared" si="17"/>
        <v>0</v>
      </c>
    </row>
    <row r="105" spans="1:16" ht="12.5">
      <c r="B105" s="160" t="str">
        <f t="shared" si="18"/>
        <v/>
      </c>
      <c r="C105" s="473">
        <f>IF(D93="","-",+C104+1)</f>
        <v>2024</v>
      </c>
      <c r="D105" s="347">
        <f>IF(F104+SUM(E$99:E104)=D$92,F104,D$92-SUM(E$99:E104))</f>
        <v>211408</v>
      </c>
      <c r="E105" s="485">
        <f t="shared" si="19"/>
        <v>5951</v>
      </c>
      <c r="F105" s="486">
        <f t="shared" si="20"/>
        <v>205457</v>
      </c>
      <c r="G105" s="486">
        <f t="shared" si="21"/>
        <v>208432.5</v>
      </c>
      <c r="H105" s="614">
        <f t="shared" si="13"/>
        <v>27443.314241050979</v>
      </c>
      <c r="I105" s="615">
        <f t="shared" si="14"/>
        <v>27443.314241050979</v>
      </c>
      <c r="J105" s="479">
        <f t="shared" si="9"/>
        <v>0</v>
      </c>
      <c r="K105" s="479"/>
      <c r="L105" s="488"/>
      <c r="M105" s="479">
        <f t="shared" si="15"/>
        <v>0</v>
      </c>
      <c r="N105" s="488"/>
      <c r="O105" s="479">
        <f t="shared" si="16"/>
        <v>0</v>
      </c>
      <c r="P105" s="479">
        <f t="shared" si="17"/>
        <v>0</v>
      </c>
    </row>
    <row r="106" spans="1:16" ht="12.5">
      <c r="B106" s="160" t="str">
        <f t="shared" si="18"/>
        <v/>
      </c>
      <c r="C106" s="473">
        <f>IF(D93="","-",+C105+1)</f>
        <v>2025</v>
      </c>
      <c r="D106" s="347">
        <f>IF(F105+SUM(E$99:E105)=D$92,F105,D$92-SUM(E$99:E105))</f>
        <v>205457</v>
      </c>
      <c r="E106" s="485">
        <f t="shared" si="19"/>
        <v>5951</v>
      </c>
      <c r="F106" s="486">
        <f t="shared" si="20"/>
        <v>199506</v>
      </c>
      <c r="G106" s="486">
        <f t="shared" si="21"/>
        <v>202481.5</v>
      </c>
      <c r="H106" s="614">
        <f t="shared" si="13"/>
        <v>26829.682671845148</v>
      </c>
      <c r="I106" s="615">
        <f t="shared" si="14"/>
        <v>26829.682671845148</v>
      </c>
      <c r="J106" s="479">
        <f t="shared" si="9"/>
        <v>0</v>
      </c>
      <c r="K106" s="479"/>
      <c r="L106" s="488"/>
      <c r="M106" s="479">
        <f t="shared" si="15"/>
        <v>0</v>
      </c>
      <c r="N106" s="488"/>
      <c r="O106" s="479">
        <f t="shared" si="16"/>
        <v>0</v>
      </c>
      <c r="P106" s="479">
        <f t="shared" si="17"/>
        <v>0</v>
      </c>
    </row>
    <row r="107" spans="1:16" ht="12.5">
      <c r="B107" s="160" t="str">
        <f t="shared" si="18"/>
        <v/>
      </c>
      <c r="C107" s="473">
        <f>IF(D93="","-",+C106+1)</f>
        <v>2026</v>
      </c>
      <c r="D107" s="347">
        <f>IF(F106+SUM(E$99:E106)=D$92,F106,D$92-SUM(E$99:E106))</f>
        <v>199506</v>
      </c>
      <c r="E107" s="485">
        <f t="shared" si="19"/>
        <v>5951</v>
      </c>
      <c r="F107" s="486">
        <f t="shared" si="20"/>
        <v>193555</v>
      </c>
      <c r="G107" s="486">
        <f t="shared" si="21"/>
        <v>196530.5</v>
      </c>
      <c r="H107" s="614">
        <f t="shared" si="13"/>
        <v>26216.051102639318</v>
      </c>
      <c r="I107" s="615">
        <f t="shared" si="14"/>
        <v>26216.051102639318</v>
      </c>
      <c r="J107" s="479">
        <f t="shared" si="9"/>
        <v>0</v>
      </c>
      <c r="K107" s="479"/>
      <c r="L107" s="488"/>
      <c r="M107" s="479">
        <f t="shared" si="15"/>
        <v>0</v>
      </c>
      <c r="N107" s="488"/>
      <c r="O107" s="479">
        <f t="shared" si="16"/>
        <v>0</v>
      </c>
      <c r="P107" s="479">
        <f t="shared" si="17"/>
        <v>0</v>
      </c>
    </row>
    <row r="108" spans="1:16" ht="12.5">
      <c r="B108" s="160" t="str">
        <f t="shared" si="18"/>
        <v/>
      </c>
      <c r="C108" s="473">
        <f>IF(D93="","-",+C107+1)</f>
        <v>2027</v>
      </c>
      <c r="D108" s="347">
        <f>IF(F107+SUM(E$99:E107)=D$92,F107,D$92-SUM(E$99:E107))</f>
        <v>193555</v>
      </c>
      <c r="E108" s="485">
        <f t="shared" si="19"/>
        <v>5951</v>
      </c>
      <c r="F108" s="486">
        <f t="shared" si="20"/>
        <v>187604</v>
      </c>
      <c r="G108" s="486">
        <f t="shared" si="21"/>
        <v>190579.5</v>
      </c>
      <c r="H108" s="614">
        <f t="shared" si="13"/>
        <v>25602.419533433487</v>
      </c>
      <c r="I108" s="615">
        <f t="shared" si="14"/>
        <v>25602.419533433487</v>
      </c>
      <c r="J108" s="479">
        <f t="shared" si="9"/>
        <v>0</v>
      </c>
      <c r="K108" s="479"/>
      <c r="L108" s="488"/>
      <c r="M108" s="479">
        <f t="shared" si="15"/>
        <v>0</v>
      </c>
      <c r="N108" s="488"/>
      <c r="O108" s="479">
        <f t="shared" si="16"/>
        <v>0</v>
      </c>
      <c r="P108" s="479">
        <f t="shared" si="17"/>
        <v>0</v>
      </c>
    </row>
    <row r="109" spans="1:16" ht="12.5">
      <c r="B109" s="160" t="str">
        <f t="shared" si="18"/>
        <v/>
      </c>
      <c r="C109" s="473">
        <f>IF(D93="","-",+C108+1)</f>
        <v>2028</v>
      </c>
      <c r="D109" s="347">
        <f>IF(F108+SUM(E$99:E108)=D$92,F108,D$92-SUM(E$99:E108))</f>
        <v>187604</v>
      </c>
      <c r="E109" s="485">
        <f t="shared" si="19"/>
        <v>5951</v>
      </c>
      <c r="F109" s="486">
        <f t="shared" si="20"/>
        <v>181653</v>
      </c>
      <c r="G109" s="486">
        <f t="shared" si="21"/>
        <v>184628.5</v>
      </c>
      <c r="H109" s="614">
        <f t="shared" si="13"/>
        <v>24988.787964227657</v>
      </c>
      <c r="I109" s="615">
        <f t="shared" si="14"/>
        <v>24988.787964227657</v>
      </c>
      <c r="J109" s="479">
        <f t="shared" si="9"/>
        <v>0</v>
      </c>
      <c r="K109" s="479"/>
      <c r="L109" s="488"/>
      <c r="M109" s="479">
        <f t="shared" si="15"/>
        <v>0</v>
      </c>
      <c r="N109" s="488"/>
      <c r="O109" s="479">
        <f t="shared" si="16"/>
        <v>0</v>
      </c>
      <c r="P109" s="479">
        <f t="shared" si="17"/>
        <v>0</v>
      </c>
    </row>
    <row r="110" spans="1:16" ht="12.5">
      <c r="B110" s="160" t="str">
        <f t="shared" si="18"/>
        <v/>
      </c>
      <c r="C110" s="473">
        <f>IF(D93="","-",+C109+1)</f>
        <v>2029</v>
      </c>
      <c r="D110" s="347">
        <f>IF(F109+SUM(E$99:E109)=D$92,F109,D$92-SUM(E$99:E109))</f>
        <v>181653</v>
      </c>
      <c r="E110" s="485">
        <f t="shared" si="19"/>
        <v>5951</v>
      </c>
      <c r="F110" s="486">
        <f t="shared" si="20"/>
        <v>175702</v>
      </c>
      <c r="G110" s="486">
        <f t="shared" si="21"/>
        <v>178677.5</v>
      </c>
      <c r="H110" s="614">
        <f t="shared" si="13"/>
        <v>24375.156395021822</v>
      </c>
      <c r="I110" s="615">
        <f t="shared" si="14"/>
        <v>24375.156395021822</v>
      </c>
      <c r="J110" s="479">
        <f t="shared" si="9"/>
        <v>0</v>
      </c>
      <c r="K110" s="479"/>
      <c r="L110" s="488"/>
      <c r="M110" s="479">
        <f t="shared" si="15"/>
        <v>0</v>
      </c>
      <c r="N110" s="488"/>
      <c r="O110" s="479">
        <f t="shared" si="16"/>
        <v>0</v>
      </c>
      <c r="P110" s="479">
        <f t="shared" si="17"/>
        <v>0</v>
      </c>
    </row>
    <row r="111" spans="1:16" ht="12.5">
      <c r="B111" s="160" t="str">
        <f t="shared" si="18"/>
        <v/>
      </c>
      <c r="C111" s="473">
        <f>IF(D93="","-",+C110+1)</f>
        <v>2030</v>
      </c>
      <c r="D111" s="347">
        <f>IF(F110+SUM(E$99:E110)=D$92,F110,D$92-SUM(E$99:E110))</f>
        <v>175702</v>
      </c>
      <c r="E111" s="485">
        <f t="shared" si="19"/>
        <v>5951</v>
      </c>
      <c r="F111" s="486">
        <f t="shared" si="20"/>
        <v>169751</v>
      </c>
      <c r="G111" s="486">
        <f t="shared" si="21"/>
        <v>172726.5</v>
      </c>
      <c r="H111" s="614">
        <f t="shared" si="13"/>
        <v>23761.524825815992</v>
      </c>
      <c r="I111" s="615">
        <f t="shared" si="14"/>
        <v>23761.524825815992</v>
      </c>
      <c r="J111" s="479">
        <f t="shared" si="9"/>
        <v>0</v>
      </c>
      <c r="K111" s="479"/>
      <c r="L111" s="488"/>
      <c r="M111" s="479">
        <f t="shared" si="15"/>
        <v>0</v>
      </c>
      <c r="N111" s="488"/>
      <c r="O111" s="479">
        <f t="shared" si="16"/>
        <v>0</v>
      </c>
      <c r="P111" s="479">
        <f t="shared" si="17"/>
        <v>0</v>
      </c>
    </row>
    <row r="112" spans="1:16" ht="12.5">
      <c r="B112" s="160" t="str">
        <f t="shared" si="18"/>
        <v/>
      </c>
      <c r="C112" s="473">
        <f>IF(D93="","-",+C111+1)</f>
        <v>2031</v>
      </c>
      <c r="D112" s="347">
        <f>IF(F111+SUM(E$99:E111)=D$92,F111,D$92-SUM(E$99:E111))</f>
        <v>169751</v>
      </c>
      <c r="E112" s="485">
        <f t="shared" si="19"/>
        <v>5951</v>
      </c>
      <c r="F112" s="486">
        <f t="shared" si="20"/>
        <v>163800</v>
      </c>
      <c r="G112" s="486">
        <f t="shared" si="21"/>
        <v>166775.5</v>
      </c>
      <c r="H112" s="614">
        <f t="shared" si="13"/>
        <v>23147.893256610161</v>
      </c>
      <c r="I112" s="615">
        <f t="shared" si="14"/>
        <v>23147.893256610161</v>
      </c>
      <c r="J112" s="479">
        <f t="shared" si="9"/>
        <v>0</v>
      </c>
      <c r="K112" s="479"/>
      <c r="L112" s="488"/>
      <c r="M112" s="479">
        <f t="shared" si="15"/>
        <v>0</v>
      </c>
      <c r="N112" s="488"/>
      <c r="O112" s="479">
        <f t="shared" si="16"/>
        <v>0</v>
      </c>
      <c r="P112" s="479">
        <f t="shared" si="17"/>
        <v>0</v>
      </c>
    </row>
    <row r="113" spans="2:16" ht="12.5">
      <c r="B113" s="160" t="str">
        <f t="shared" si="18"/>
        <v/>
      </c>
      <c r="C113" s="473">
        <f>IF(D93="","-",+C112+1)</f>
        <v>2032</v>
      </c>
      <c r="D113" s="347">
        <f>IF(F112+SUM(E$99:E112)=D$92,F112,D$92-SUM(E$99:E112))</f>
        <v>163800</v>
      </c>
      <c r="E113" s="485">
        <f t="shared" si="19"/>
        <v>5951</v>
      </c>
      <c r="F113" s="486">
        <f t="shared" si="20"/>
        <v>157849</v>
      </c>
      <c r="G113" s="486">
        <f t="shared" si="21"/>
        <v>160824.5</v>
      </c>
      <c r="H113" s="614">
        <f t="shared" si="13"/>
        <v>22534.261687404331</v>
      </c>
      <c r="I113" s="615">
        <f t="shared" si="14"/>
        <v>22534.261687404331</v>
      </c>
      <c r="J113" s="479">
        <f t="shared" si="9"/>
        <v>0</v>
      </c>
      <c r="K113" s="479"/>
      <c r="L113" s="488"/>
      <c r="M113" s="479">
        <f t="shared" si="15"/>
        <v>0</v>
      </c>
      <c r="N113" s="488"/>
      <c r="O113" s="479">
        <f t="shared" si="16"/>
        <v>0</v>
      </c>
      <c r="P113" s="479">
        <f t="shared" si="17"/>
        <v>0</v>
      </c>
    </row>
    <row r="114" spans="2:16" ht="12.5">
      <c r="B114" s="160" t="str">
        <f t="shared" si="18"/>
        <v/>
      </c>
      <c r="C114" s="473">
        <f>IF(D93="","-",+C113+1)</f>
        <v>2033</v>
      </c>
      <c r="D114" s="347">
        <f>IF(F113+SUM(E$99:E113)=D$92,F113,D$92-SUM(E$99:E113))</f>
        <v>157849</v>
      </c>
      <c r="E114" s="485">
        <f t="shared" si="19"/>
        <v>5951</v>
      </c>
      <c r="F114" s="486">
        <f t="shared" si="20"/>
        <v>151898</v>
      </c>
      <c r="G114" s="486">
        <f t="shared" si="21"/>
        <v>154873.5</v>
      </c>
      <c r="H114" s="614">
        <f t="shared" si="13"/>
        <v>21920.6301181985</v>
      </c>
      <c r="I114" s="615">
        <f t="shared" si="14"/>
        <v>21920.6301181985</v>
      </c>
      <c r="J114" s="479">
        <f t="shared" si="9"/>
        <v>0</v>
      </c>
      <c r="K114" s="479"/>
      <c r="L114" s="488"/>
      <c r="M114" s="479">
        <f t="shared" si="15"/>
        <v>0</v>
      </c>
      <c r="N114" s="488"/>
      <c r="O114" s="479">
        <f t="shared" si="16"/>
        <v>0</v>
      </c>
      <c r="P114" s="479">
        <f t="shared" si="17"/>
        <v>0</v>
      </c>
    </row>
    <row r="115" spans="2:16" ht="12.5">
      <c r="B115" s="160" t="str">
        <f t="shared" si="18"/>
        <v/>
      </c>
      <c r="C115" s="473">
        <f>IF(D93="","-",+C114+1)</f>
        <v>2034</v>
      </c>
      <c r="D115" s="347">
        <f>IF(F114+SUM(E$99:E114)=D$92,F114,D$92-SUM(E$99:E114))</f>
        <v>151898</v>
      </c>
      <c r="E115" s="485">
        <f t="shared" si="19"/>
        <v>5951</v>
      </c>
      <c r="F115" s="486">
        <f t="shared" si="20"/>
        <v>145947</v>
      </c>
      <c r="G115" s="486">
        <f t="shared" si="21"/>
        <v>148922.5</v>
      </c>
      <c r="H115" s="614">
        <f t="shared" si="13"/>
        <v>21306.998548992669</v>
      </c>
      <c r="I115" s="615">
        <f t="shared" si="14"/>
        <v>21306.998548992669</v>
      </c>
      <c r="J115" s="479">
        <f t="shared" si="9"/>
        <v>0</v>
      </c>
      <c r="K115" s="479"/>
      <c r="L115" s="488"/>
      <c r="M115" s="479">
        <f t="shared" si="15"/>
        <v>0</v>
      </c>
      <c r="N115" s="488"/>
      <c r="O115" s="479">
        <f t="shared" si="16"/>
        <v>0</v>
      </c>
      <c r="P115" s="479">
        <f t="shared" si="17"/>
        <v>0</v>
      </c>
    </row>
    <row r="116" spans="2:16" ht="12.5">
      <c r="B116" s="160" t="str">
        <f t="shared" si="18"/>
        <v/>
      </c>
      <c r="C116" s="473">
        <f>IF(D93="","-",+C115+1)</f>
        <v>2035</v>
      </c>
      <c r="D116" s="347">
        <f>IF(F115+SUM(E$99:E115)=D$92,F115,D$92-SUM(E$99:E115))</f>
        <v>145947</v>
      </c>
      <c r="E116" s="485">
        <f t="shared" si="19"/>
        <v>5951</v>
      </c>
      <c r="F116" s="486">
        <f t="shared" si="20"/>
        <v>139996</v>
      </c>
      <c r="G116" s="486">
        <f t="shared" si="21"/>
        <v>142971.5</v>
      </c>
      <c r="H116" s="614">
        <f t="shared" si="13"/>
        <v>20693.366979786835</v>
      </c>
      <c r="I116" s="615">
        <f t="shared" si="14"/>
        <v>20693.366979786835</v>
      </c>
      <c r="J116" s="479">
        <f t="shared" si="9"/>
        <v>0</v>
      </c>
      <c r="K116" s="479"/>
      <c r="L116" s="488"/>
      <c r="M116" s="479">
        <f t="shared" si="15"/>
        <v>0</v>
      </c>
      <c r="N116" s="488"/>
      <c r="O116" s="479">
        <f t="shared" si="16"/>
        <v>0</v>
      </c>
      <c r="P116" s="479">
        <f t="shared" si="17"/>
        <v>0</v>
      </c>
    </row>
    <row r="117" spans="2:16" ht="12.5">
      <c r="B117" s="160" t="str">
        <f t="shared" si="18"/>
        <v/>
      </c>
      <c r="C117" s="473">
        <f>IF(D93="","-",+C116+1)</f>
        <v>2036</v>
      </c>
      <c r="D117" s="347">
        <f>IF(F116+SUM(E$99:E116)=D$92,F116,D$92-SUM(E$99:E116))</f>
        <v>139996</v>
      </c>
      <c r="E117" s="485">
        <f t="shared" si="19"/>
        <v>5951</v>
      </c>
      <c r="F117" s="486">
        <f t="shared" si="20"/>
        <v>134045</v>
      </c>
      <c r="G117" s="486">
        <f t="shared" si="21"/>
        <v>137020.5</v>
      </c>
      <c r="H117" s="614">
        <f t="shared" si="13"/>
        <v>20079.735410581008</v>
      </c>
      <c r="I117" s="615">
        <f t="shared" si="14"/>
        <v>20079.735410581008</v>
      </c>
      <c r="J117" s="479">
        <f t="shared" si="9"/>
        <v>0</v>
      </c>
      <c r="K117" s="479"/>
      <c r="L117" s="488"/>
      <c r="M117" s="479">
        <f t="shared" si="15"/>
        <v>0</v>
      </c>
      <c r="N117" s="488"/>
      <c r="O117" s="479">
        <f t="shared" si="16"/>
        <v>0</v>
      </c>
      <c r="P117" s="479">
        <f t="shared" si="17"/>
        <v>0</v>
      </c>
    </row>
    <row r="118" spans="2:16" ht="12.5">
      <c r="B118" s="160" t="str">
        <f t="shared" si="18"/>
        <v/>
      </c>
      <c r="C118" s="473">
        <f>IF(D93="","-",+C117+1)</f>
        <v>2037</v>
      </c>
      <c r="D118" s="347">
        <f>IF(F117+SUM(E$99:E117)=D$92,F117,D$92-SUM(E$99:E117))</f>
        <v>134045</v>
      </c>
      <c r="E118" s="485">
        <f t="shared" si="19"/>
        <v>5951</v>
      </c>
      <c r="F118" s="486">
        <f t="shared" si="20"/>
        <v>128094</v>
      </c>
      <c r="G118" s="486">
        <f t="shared" si="21"/>
        <v>131069.5</v>
      </c>
      <c r="H118" s="614">
        <f t="shared" si="13"/>
        <v>19466.103841375174</v>
      </c>
      <c r="I118" s="615">
        <f t="shared" si="14"/>
        <v>19466.103841375174</v>
      </c>
      <c r="J118" s="479">
        <f t="shared" si="9"/>
        <v>0</v>
      </c>
      <c r="K118" s="479"/>
      <c r="L118" s="488"/>
      <c r="M118" s="479">
        <f t="shared" si="15"/>
        <v>0</v>
      </c>
      <c r="N118" s="488"/>
      <c r="O118" s="479">
        <f t="shared" si="16"/>
        <v>0</v>
      </c>
      <c r="P118" s="479">
        <f t="shared" si="17"/>
        <v>0</v>
      </c>
    </row>
    <row r="119" spans="2:16" ht="12.5">
      <c r="B119" s="160" t="str">
        <f t="shared" si="18"/>
        <v/>
      </c>
      <c r="C119" s="473">
        <f>IF(D93="","-",+C118+1)</f>
        <v>2038</v>
      </c>
      <c r="D119" s="347">
        <f>IF(F118+SUM(E$99:E118)=D$92,F118,D$92-SUM(E$99:E118))</f>
        <v>128094</v>
      </c>
      <c r="E119" s="485">
        <f t="shared" si="19"/>
        <v>5951</v>
      </c>
      <c r="F119" s="486">
        <f t="shared" si="20"/>
        <v>122143</v>
      </c>
      <c r="G119" s="486">
        <f t="shared" si="21"/>
        <v>125118.5</v>
      </c>
      <c r="H119" s="614">
        <f t="shared" si="13"/>
        <v>18852.472272169347</v>
      </c>
      <c r="I119" s="615">
        <f t="shared" si="14"/>
        <v>18852.472272169347</v>
      </c>
      <c r="J119" s="479">
        <f t="shared" si="9"/>
        <v>0</v>
      </c>
      <c r="K119" s="479"/>
      <c r="L119" s="488"/>
      <c r="M119" s="479">
        <f t="shared" si="15"/>
        <v>0</v>
      </c>
      <c r="N119" s="488"/>
      <c r="O119" s="479">
        <f t="shared" si="16"/>
        <v>0</v>
      </c>
      <c r="P119" s="479">
        <f t="shared" si="17"/>
        <v>0</v>
      </c>
    </row>
    <row r="120" spans="2:16" ht="12.5">
      <c r="B120" s="160" t="str">
        <f t="shared" si="18"/>
        <v/>
      </c>
      <c r="C120" s="473">
        <f>IF(D93="","-",+C119+1)</f>
        <v>2039</v>
      </c>
      <c r="D120" s="347">
        <f>IF(F119+SUM(E$99:E119)=D$92,F119,D$92-SUM(E$99:E119))</f>
        <v>122143</v>
      </c>
      <c r="E120" s="485">
        <f t="shared" si="19"/>
        <v>5951</v>
      </c>
      <c r="F120" s="486">
        <f t="shared" si="20"/>
        <v>116192</v>
      </c>
      <c r="G120" s="486">
        <f t="shared" si="21"/>
        <v>119167.5</v>
      </c>
      <c r="H120" s="614">
        <f t="shared" si="13"/>
        <v>18238.840702963513</v>
      </c>
      <c r="I120" s="615">
        <f t="shared" si="14"/>
        <v>18238.840702963513</v>
      </c>
      <c r="J120" s="479">
        <f t="shared" si="9"/>
        <v>0</v>
      </c>
      <c r="K120" s="479"/>
      <c r="L120" s="488"/>
      <c r="M120" s="479">
        <f t="shared" si="15"/>
        <v>0</v>
      </c>
      <c r="N120" s="488"/>
      <c r="O120" s="479">
        <f t="shared" si="16"/>
        <v>0</v>
      </c>
      <c r="P120" s="479">
        <f t="shared" si="17"/>
        <v>0</v>
      </c>
    </row>
    <row r="121" spans="2:16" ht="12.5">
      <c r="B121" s="160" t="str">
        <f t="shared" si="18"/>
        <v/>
      </c>
      <c r="C121" s="473">
        <f>IF(D93="","-",+C120+1)</f>
        <v>2040</v>
      </c>
      <c r="D121" s="347">
        <f>IF(F120+SUM(E$99:E120)=D$92,F120,D$92-SUM(E$99:E120))</f>
        <v>116192</v>
      </c>
      <c r="E121" s="485">
        <f t="shared" si="19"/>
        <v>5951</v>
      </c>
      <c r="F121" s="486">
        <f t="shared" si="20"/>
        <v>110241</v>
      </c>
      <c r="G121" s="486">
        <f t="shared" si="21"/>
        <v>113216.5</v>
      </c>
      <c r="H121" s="614">
        <f t="shared" si="13"/>
        <v>17625.209133757682</v>
      </c>
      <c r="I121" s="615">
        <f t="shared" si="14"/>
        <v>17625.209133757682</v>
      </c>
      <c r="J121" s="479">
        <f t="shared" si="9"/>
        <v>0</v>
      </c>
      <c r="K121" s="479"/>
      <c r="L121" s="488"/>
      <c r="M121" s="479">
        <f t="shared" si="15"/>
        <v>0</v>
      </c>
      <c r="N121" s="488"/>
      <c r="O121" s="479">
        <f t="shared" si="16"/>
        <v>0</v>
      </c>
      <c r="P121" s="479">
        <f t="shared" si="17"/>
        <v>0</v>
      </c>
    </row>
    <row r="122" spans="2:16" ht="12.5">
      <c r="B122" s="160" t="str">
        <f t="shared" si="18"/>
        <v/>
      </c>
      <c r="C122" s="473">
        <f>IF(D93="","-",+C121+1)</f>
        <v>2041</v>
      </c>
      <c r="D122" s="347">
        <f>IF(F121+SUM(E$99:E121)=D$92,F121,D$92-SUM(E$99:E121))</f>
        <v>110241</v>
      </c>
      <c r="E122" s="485">
        <f t="shared" si="19"/>
        <v>5951</v>
      </c>
      <c r="F122" s="486">
        <f t="shared" si="20"/>
        <v>104290</v>
      </c>
      <c r="G122" s="486">
        <f t="shared" si="21"/>
        <v>107265.5</v>
      </c>
      <c r="H122" s="614">
        <f t="shared" si="13"/>
        <v>17011.577564551852</v>
      </c>
      <c r="I122" s="615">
        <f t="shared" si="14"/>
        <v>17011.577564551852</v>
      </c>
      <c r="J122" s="479">
        <f t="shared" si="9"/>
        <v>0</v>
      </c>
      <c r="K122" s="479"/>
      <c r="L122" s="488"/>
      <c r="M122" s="479">
        <f t="shared" si="15"/>
        <v>0</v>
      </c>
      <c r="N122" s="488"/>
      <c r="O122" s="479">
        <f t="shared" si="16"/>
        <v>0</v>
      </c>
      <c r="P122" s="479">
        <f t="shared" si="17"/>
        <v>0</v>
      </c>
    </row>
    <row r="123" spans="2:16" ht="12.5">
      <c r="B123" s="160" t="str">
        <f t="shared" si="18"/>
        <v/>
      </c>
      <c r="C123" s="473">
        <f>IF(D93="","-",+C122+1)</f>
        <v>2042</v>
      </c>
      <c r="D123" s="347">
        <f>IF(F122+SUM(E$99:E122)=D$92,F122,D$92-SUM(E$99:E122))</f>
        <v>104290</v>
      </c>
      <c r="E123" s="485">
        <f t="shared" si="19"/>
        <v>5951</v>
      </c>
      <c r="F123" s="486">
        <f t="shared" si="20"/>
        <v>98339</v>
      </c>
      <c r="G123" s="486">
        <f t="shared" si="21"/>
        <v>101314.5</v>
      </c>
      <c r="H123" s="614">
        <f t="shared" si="13"/>
        <v>16397.945995346021</v>
      </c>
      <c r="I123" s="615">
        <f t="shared" si="14"/>
        <v>16397.945995346021</v>
      </c>
      <c r="J123" s="479">
        <f t="shared" si="9"/>
        <v>0</v>
      </c>
      <c r="K123" s="479"/>
      <c r="L123" s="488"/>
      <c r="M123" s="479">
        <f t="shared" si="15"/>
        <v>0</v>
      </c>
      <c r="N123" s="488"/>
      <c r="O123" s="479">
        <f t="shared" si="16"/>
        <v>0</v>
      </c>
      <c r="P123" s="479">
        <f t="shared" si="17"/>
        <v>0</v>
      </c>
    </row>
    <row r="124" spans="2:16" ht="12.5">
      <c r="B124" s="160" t="str">
        <f t="shared" si="18"/>
        <v/>
      </c>
      <c r="C124" s="473">
        <f>IF(D93="","-",+C123+1)</f>
        <v>2043</v>
      </c>
      <c r="D124" s="347">
        <f>IF(F123+SUM(E$99:E123)=D$92,F123,D$92-SUM(E$99:E123))</f>
        <v>98339</v>
      </c>
      <c r="E124" s="485">
        <f t="shared" si="19"/>
        <v>5951</v>
      </c>
      <c r="F124" s="486">
        <f t="shared" si="20"/>
        <v>92388</v>
      </c>
      <c r="G124" s="486">
        <f t="shared" si="21"/>
        <v>95363.5</v>
      </c>
      <c r="H124" s="614">
        <f t="shared" si="13"/>
        <v>15784.31442614019</v>
      </c>
      <c r="I124" s="615">
        <f t="shared" si="14"/>
        <v>15784.31442614019</v>
      </c>
      <c r="J124" s="479">
        <f t="shared" si="9"/>
        <v>0</v>
      </c>
      <c r="K124" s="479"/>
      <c r="L124" s="488"/>
      <c r="M124" s="479">
        <f t="shared" si="15"/>
        <v>0</v>
      </c>
      <c r="N124" s="488"/>
      <c r="O124" s="479">
        <f t="shared" si="16"/>
        <v>0</v>
      </c>
      <c r="P124" s="479">
        <f t="shared" si="17"/>
        <v>0</v>
      </c>
    </row>
    <row r="125" spans="2:16" ht="12.5">
      <c r="B125" s="160" t="str">
        <f t="shared" si="18"/>
        <v/>
      </c>
      <c r="C125" s="473">
        <f>IF(D93="","-",+C124+1)</f>
        <v>2044</v>
      </c>
      <c r="D125" s="347">
        <f>IF(F124+SUM(E$99:E124)=D$92,F124,D$92-SUM(E$99:E124))</f>
        <v>92388</v>
      </c>
      <c r="E125" s="485">
        <f t="shared" si="19"/>
        <v>5951</v>
      </c>
      <c r="F125" s="486">
        <f t="shared" si="20"/>
        <v>86437</v>
      </c>
      <c r="G125" s="486">
        <f t="shared" si="21"/>
        <v>89412.5</v>
      </c>
      <c r="H125" s="614">
        <f t="shared" si="13"/>
        <v>15170.682856934358</v>
      </c>
      <c r="I125" s="615">
        <f t="shared" si="14"/>
        <v>15170.682856934358</v>
      </c>
      <c r="J125" s="479">
        <f t="shared" si="9"/>
        <v>0</v>
      </c>
      <c r="K125" s="479"/>
      <c r="L125" s="488"/>
      <c r="M125" s="479">
        <f t="shared" si="15"/>
        <v>0</v>
      </c>
      <c r="N125" s="488"/>
      <c r="O125" s="479">
        <f t="shared" si="16"/>
        <v>0</v>
      </c>
      <c r="P125" s="479">
        <f t="shared" si="17"/>
        <v>0</v>
      </c>
    </row>
    <row r="126" spans="2:16" ht="12.5">
      <c r="B126" s="160" t="str">
        <f t="shared" si="18"/>
        <v/>
      </c>
      <c r="C126" s="473">
        <f>IF(D93="","-",+C125+1)</f>
        <v>2045</v>
      </c>
      <c r="D126" s="347">
        <f>IF(F125+SUM(E$99:E125)=D$92,F125,D$92-SUM(E$99:E125))</f>
        <v>86437</v>
      </c>
      <c r="E126" s="485">
        <f t="shared" si="19"/>
        <v>5951</v>
      </c>
      <c r="F126" s="486">
        <f t="shared" si="20"/>
        <v>80486</v>
      </c>
      <c r="G126" s="486">
        <f t="shared" si="21"/>
        <v>83461.5</v>
      </c>
      <c r="H126" s="614">
        <f t="shared" si="13"/>
        <v>14557.051287728527</v>
      </c>
      <c r="I126" s="615">
        <f t="shared" si="14"/>
        <v>14557.051287728527</v>
      </c>
      <c r="J126" s="479">
        <f t="shared" si="9"/>
        <v>0</v>
      </c>
      <c r="K126" s="479"/>
      <c r="L126" s="488"/>
      <c r="M126" s="479">
        <f t="shared" si="15"/>
        <v>0</v>
      </c>
      <c r="N126" s="488"/>
      <c r="O126" s="479">
        <f t="shared" si="16"/>
        <v>0</v>
      </c>
      <c r="P126" s="479">
        <f t="shared" si="17"/>
        <v>0</v>
      </c>
    </row>
    <row r="127" spans="2:16" ht="12.5">
      <c r="B127" s="160" t="str">
        <f t="shared" si="18"/>
        <v/>
      </c>
      <c r="C127" s="473">
        <f>IF(D93="","-",+C126+1)</f>
        <v>2046</v>
      </c>
      <c r="D127" s="347">
        <f>IF(F126+SUM(E$99:E126)=D$92,F126,D$92-SUM(E$99:E126))</f>
        <v>80486</v>
      </c>
      <c r="E127" s="485">
        <f t="shared" si="19"/>
        <v>5951</v>
      </c>
      <c r="F127" s="486">
        <f t="shared" si="20"/>
        <v>74535</v>
      </c>
      <c r="G127" s="486">
        <f t="shared" si="21"/>
        <v>77510.5</v>
      </c>
      <c r="H127" s="614">
        <f t="shared" si="13"/>
        <v>13943.419718522697</v>
      </c>
      <c r="I127" s="615">
        <f t="shared" si="14"/>
        <v>13943.419718522697</v>
      </c>
      <c r="J127" s="479">
        <f t="shared" si="9"/>
        <v>0</v>
      </c>
      <c r="K127" s="479"/>
      <c r="L127" s="488"/>
      <c r="M127" s="479">
        <f t="shared" si="15"/>
        <v>0</v>
      </c>
      <c r="N127" s="488"/>
      <c r="O127" s="479">
        <f t="shared" si="16"/>
        <v>0</v>
      </c>
      <c r="P127" s="479">
        <f t="shared" si="17"/>
        <v>0</v>
      </c>
    </row>
    <row r="128" spans="2:16" ht="12.5">
      <c r="B128" s="160" t="str">
        <f t="shared" si="18"/>
        <v/>
      </c>
      <c r="C128" s="473">
        <f>IF(D93="","-",+C127+1)</f>
        <v>2047</v>
      </c>
      <c r="D128" s="347">
        <f>IF(F127+SUM(E$99:E127)=D$92,F127,D$92-SUM(E$99:E127))</f>
        <v>74535</v>
      </c>
      <c r="E128" s="485">
        <f t="shared" si="19"/>
        <v>5951</v>
      </c>
      <c r="F128" s="486">
        <f t="shared" si="20"/>
        <v>68584</v>
      </c>
      <c r="G128" s="486">
        <f t="shared" si="21"/>
        <v>71559.5</v>
      </c>
      <c r="H128" s="614">
        <f t="shared" si="13"/>
        <v>13329.788149316864</v>
      </c>
      <c r="I128" s="615">
        <f t="shared" si="14"/>
        <v>13329.788149316864</v>
      </c>
      <c r="J128" s="479">
        <f t="shared" si="9"/>
        <v>0</v>
      </c>
      <c r="K128" s="479"/>
      <c r="L128" s="488"/>
      <c r="M128" s="479">
        <f t="shared" si="15"/>
        <v>0</v>
      </c>
      <c r="N128" s="488"/>
      <c r="O128" s="479">
        <f t="shared" si="16"/>
        <v>0</v>
      </c>
      <c r="P128" s="479">
        <f t="shared" si="17"/>
        <v>0</v>
      </c>
    </row>
    <row r="129" spans="2:16" ht="12.5">
      <c r="B129" s="160" t="str">
        <f t="shared" si="18"/>
        <v/>
      </c>
      <c r="C129" s="473">
        <f>IF(D93="","-",+C128+1)</f>
        <v>2048</v>
      </c>
      <c r="D129" s="347">
        <f>IF(F128+SUM(E$99:E128)=D$92,F128,D$92-SUM(E$99:E128))</f>
        <v>68584</v>
      </c>
      <c r="E129" s="485">
        <f t="shared" si="19"/>
        <v>5951</v>
      </c>
      <c r="F129" s="486">
        <f t="shared" si="20"/>
        <v>62633</v>
      </c>
      <c r="G129" s="486">
        <f t="shared" si="21"/>
        <v>65608.5</v>
      </c>
      <c r="H129" s="614">
        <f t="shared" si="13"/>
        <v>12716.156580111034</v>
      </c>
      <c r="I129" s="615">
        <f t="shared" si="14"/>
        <v>12716.156580111034</v>
      </c>
      <c r="J129" s="479">
        <f t="shared" si="9"/>
        <v>0</v>
      </c>
      <c r="K129" s="479"/>
      <c r="L129" s="488"/>
      <c r="M129" s="479">
        <f t="shared" si="15"/>
        <v>0</v>
      </c>
      <c r="N129" s="488"/>
      <c r="O129" s="479">
        <f t="shared" si="16"/>
        <v>0</v>
      </c>
      <c r="P129" s="479">
        <f t="shared" si="17"/>
        <v>0</v>
      </c>
    </row>
    <row r="130" spans="2:16" ht="12.5">
      <c r="B130" s="160" t="str">
        <f t="shared" si="18"/>
        <v/>
      </c>
      <c r="C130" s="473">
        <f>IF(D93="","-",+C129+1)</f>
        <v>2049</v>
      </c>
      <c r="D130" s="347">
        <f>IF(F129+SUM(E$99:E129)=D$92,F129,D$92-SUM(E$99:E129))</f>
        <v>62633</v>
      </c>
      <c r="E130" s="485">
        <f t="shared" si="19"/>
        <v>5951</v>
      </c>
      <c r="F130" s="486">
        <f t="shared" si="20"/>
        <v>56682</v>
      </c>
      <c r="G130" s="486">
        <f t="shared" si="21"/>
        <v>59657.5</v>
      </c>
      <c r="H130" s="614">
        <f t="shared" si="13"/>
        <v>12102.525010905203</v>
      </c>
      <c r="I130" s="615">
        <f t="shared" si="14"/>
        <v>12102.525010905203</v>
      </c>
      <c r="J130" s="479">
        <f t="shared" si="9"/>
        <v>0</v>
      </c>
      <c r="K130" s="479"/>
      <c r="L130" s="488"/>
      <c r="M130" s="479">
        <f t="shared" si="15"/>
        <v>0</v>
      </c>
      <c r="N130" s="488"/>
      <c r="O130" s="479">
        <f t="shared" si="16"/>
        <v>0</v>
      </c>
      <c r="P130" s="479">
        <f t="shared" si="17"/>
        <v>0</v>
      </c>
    </row>
    <row r="131" spans="2:16" ht="12.5">
      <c r="B131" s="160" t="str">
        <f t="shared" si="18"/>
        <v/>
      </c>
      <c r="C131" s="473">
        <f>IF(D93="","-",+C130+1)</f>
        <v>2050</v>
      </c>
      <c r="D131" s="347">
        <f>IF(F130+SUM(E$99:E130)=D$92,F130,D$92-SUM(E$99:E130))</f>
        <v>56682</v>
      </c>
      <c r="E131" s="485">
        <f t="shared" si="19"/>
        <v>5951</v>
      </c>
      <c r="F131" s="486">
        <f t="shared" si="20"/>
        <v>50731</v>
      </c>
      <c r="G131" s="486">
        <f t="shared" si="21"/>
        <v>53706.5</v>
      </c>
      <c r="H131" s="614">
        <f t="shared" si="13"/>
        <v>11488.893441699372</v>
      </c>
      <c r="I131" s="615">
        <f t="shared" si="14"/>
        <v>11488.893441699372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8"/>
        <v/>
      </c>
      <c r="C132" s="473">
        <f>IF(D93="","-",+C131+1)</f>
        <v>2051</v>
      </c>
      <c r="D132" s="347">
        <f>IF(F131+SUM(E$99:E131)=D$92,F131,D$92-SUM(E$99:E131))</f>
        <v>50731</v>
      </c>
      <c r="E132" s="485">
        <f t="shared" si="19"/>
        <v>5951</v>
      </c>
      <c r="F132" s="486">
        <f t="shared" si="20"/>
        <v>44780</v>
      </c>
      <c r="G132" s="486">
        <f t="shared" si="21"/>
        <v>47755.5</v>
      </c>
      <c r="H132" s="614">
        <f t="shared" si="13"/>
        <v>10875.261872493542</v>
      </c>
      <c r="I132" s="615">
        <f t="shared" si="14"/>
        <v>10875.261872493542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8"/>
        <v/>
      </c>
      <c r="C133" s="473">
        <f>IF(D93="","-",+C132+1)</f>
        <v>2052</v>
      </c>
      <c r="D133" s="347">
        <f>IF(F132+SUM(E$99:E132)=D$92,F132,D$92-SUM(E$99:E132))</f>
        <v>44780</v>
      </c>
      <c r="E133" s="485">
        <f t="shared" si="19"/>
        <v>5951</v>
      </c>
      <c r="F133" s="486">
        <f t="shared" si="20"/>
        <v>38829</v>
      </c>
      <c r="G133" s="486">
        <f t="shared" si="21"/>
        <v>41804.5</v>
      </c>
      <c r="H133" s="614">
        <f t="shared" si="13"/>
        <v>10261.630303287711</v>
      </c>
      <c r="I133" s="615">
        <f t="shared" si="14"/>
        <v>10261.630303287711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8"/>
        <v/>
      </c>
      <c r="C134" s="473">
        <f>IF(D93="","-",+C133+1)</f>
        <v>2053</v>
      </c>
      <c r="D134" s="347">
        <f>IF(F133+SUM(E$99:E133)=D$92,F133,D$92-SUM(E$99:E133))</f>
        <v>38829</v>
      </c>
      <c r="E134" s="485">
        <f t="shared" si="19"/>
        <v>5951</v>
      </c>
      <c r="F134" s="486">
        <f t="shared" si="20"/>
        <v>32878</v>
      </c>
      <c r="G134" s="486">
        <f t="shared" si="21"/>
        <v>35853.5</v>
      </c>
      <c r="H134" s="614">
        <f t="shared" si="13"/>
        <v>9647.9987340818789</v>
      </c>
      <c r="I134" s="615">
        <f t="shared" si="14"/>
        <v>9647.9987340818789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8"/>
        <v/>
      </c>
      <c r="C135" s="473">
        <f>IF(D93="","-",+C134+1)</f>
        <v>2054</v>
      </c>
      <c r="D135" s="347">
        <f>IF(F134+SUM(E$99:E134)=D$92,F134,D$92-SUM(E$99:E134))</f>
        <v>32878</v>
      </c>
      <c r="E135" s="485">
        <f t="shared" si="19"/>
        <v>5951</v>
      </c>
      <c r="F135" s="486">
        <f t="shared" si="20"/>
        <v>26927</v>
      </c>
      <c r="G135" s="486">
        <f t="shared" si="21"/>
        <v>29902.5</v>
      </c>
      <c r="H135" s="614">
        <f t="shared" si="13"/>
        <v>9034.3671648760483</v>
      </c>
      <c r="I135" s="615">
        <f t="shared" si="14"/>
        <v>9034.3671648760483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8"/>
        <v/>
      </c>
      <c r="C136" s="473">
        <f>IF(D93="","-",+C135+1)</f>
        <v>2055</v>
      </c>
      <c r="D136" s="347">
        <f>IF(F135+SUM(E$99:E135)=D$92,F135,D$92-SUM(E$99:E135))</f>
        <v>26927</v>
      </c>
      <c r="E136" s="485">
        <f t="shared" si="19"/>
        <v>5951</v>
      </c>
      <c r="F136" s="486">
        <f t="shared" si="20"/>
        <v>20976</v>
      </c>
      <c r="G136" s="486">
        <f t="shared" si="21"/>
        <v>23951.5</v>
      </c>
      <c r="H136" s="614">
        <f t="shared" si="13"/>
        <v>8420.7355956702177</v>
      </c>
      <c r="I136" s="615">
        <f t="shared" si="14"/>
        <v>8420.7355956702177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8"/>
        <v/>
      </c>
      <c r="C137" s="473">
        <f>IF(D93="","-",+C136+1)</f>
        <v>2056</v>
      </c>
      <c r="D137" s="347">
        <f>IF(F136+SUM(E$99:E136)=D$92,F136,D$92-SUM(E$99:E136))</f>
        <v>20976</v>
      </c>
      <c r="E137" s="485">
        <f t="shared" si="19"/>
        <v>5951</v>
      </c>
      <c r="F137" s="486">
        <f t="shared" si="20"/>
        <v>15025</v>
      </c>
      <c r="G137" s="486">
        <f t="shared" si="21"/>
        <v>18000.5</v>
      </c>
      <c r="H137" s="614">
        <f t="shared" si="13"/>
        <v>7807.1040264643862</v>
      </c>
      <c r="I137" s="615">
        <f t="shared" si="14"/>
        <v>7807.1040264643862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8"/>
        <v/>
      </c>
      <c r="C138" s="473">
        <f>IF(D93="","-",+C137+1)</f>
        <v>2057</v>
      </c>
      <c r="D138" s="347">
        <f>IF(F137+SUM(E$99:E137)=D$92,F137,D$92-SUM(E$99:E137))</f>
        <v>15025</v>
      </c>
      <c r="E138" s="485">
        <f t="shared" si="19"/>
        <v>5951</v>
      </c>
      <c r="F138" s="486">
        <f t="shared" si="20"/>
        <v>9074</v>
      </c>
      <c r="G138" s="486">
        <f t="shared" si="21"/>
        <v>12049.5</v>
      </c>
      <c r="H138" s="614">
        <f t="shared" si="13"/>
        <v>7193.4724572585546</v>
      </c>
      <c r="I138" s="615">
        <f t="shared" si="14"/>
        <v>7193.4724572585546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8"/>
        <v/>
      </c>
      <c r="C139" s="473">
        <f>IF(D93="","-",+C138+1)</f>
        <v>2058</v>
      </c>
      <c r="D139" s="347">
        <f>IF(F138+SUM(E$99:E138)=D$92,F138,D$92-SUM(E$99:E138))</f>
        <v>9074</v>
      </c>
      <c r="E139" s="485">
        <f t="shared" si="19"/>
        <v>5951</v>
      </c>
      <c r="F139" s="486">
        <f t="shared" si="20"/>
        <v>3123</v>
      </c>
      <c r="G139" s="486">
        <f t="shared" si="21"/>
        <v>6098.5</v>
      </c>
      <c r="H139" s="614">
        <f t="shared" si="13"/>
        <v>6579.840888052724</v>
      </c>
      <c r="I139" s="615">
        <f t="shared" si="14"/>
        <v>6579.840888052724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8"/>
        <v/>
      </c>
      <c r="C140" s="473">
        <f>IF(D93="","-",+C139+1)</f>
        <v>2059</v>
      </c>
      <c r="D140" s="347">
        <f>IF(F139+SUM(E$99:E139)=D$92,F139,D$92-SUM(E$99:E139))</f>
        <v>3123</v>
      </c>
      <c r="E140" s="485">
        <f t="shared" si="19"/>
        <v>3123</v>
      </c>
      <c r="F140" s="486">
        <f t="shared" si="20"/>
        <v>0</v>
      </c>
      <c r="G140" s="486">
        <f t="shared" si="21"/>
        <v>1561.5</v>
      </c>
      <c r="H140" s="614">
        <f t="shared" si="13"/>
        <v>3284.0125517249044</v>
      </c>
      <c r="I140" s="615">
        <f t="shared" si="14"/>
        <v>3284.0125517249044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8"/>
        <v/>
      </c>
      <c r="C141" s="473">
        <f>IF(D93="","-",+C140+1)</f>
        <v>2060</v>
      </c>
      <c r="D141" s="347">
        <f>IF(F140+SUM(E$99:E140)=D$92,F140,D$92-SUM(E$99:E140))</f>
        <v>0</v>
      </c>
      <c r="E141" s="485">
        <f t="shared" si="19"/>
        <v>0</v>
      </c>
      <c r="F141" s="486">
        <f t="shared" si="20"/>
        <v>0</v>
      </c>
      <c r="G141" s="486">
        <f t="shared" si="21"/>
        <v>0</v>
      </c>
      <c r="H141" s="614">
        <f t="shared" si="13"/>
        <v>0</v>
      </c>
      <c r="I141" s="615">
        <f t="shared" si="14"/>
        <v>0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8"/>
        <v/>
      </c>
      <c r="C142" s="473">
        <f>IF(D93="","-",+C141+1)</f>
        <v>2061</v>
      </c>
      <c r="D142" s="347">
        <f>IF(F141+SUM(E$99:E141)=D$92,F141,D$92-SUM(E$99:E141))</f>
        <v>0</v>
      </c>
      <c r="E142" s="485">
        <f t="shared" si="19"/>
        <v>0</v>
      </c>
      <c r="F142" s="486">
        <f t="shared" si="20"/>
        <v>0</v>
      </c>
      <c r="G142" s="486">
        <f t="shared" si="21"/>
        <v>0</v>
      </c>
      <c r="H142" s="614">
        <f t="shared" si="13"/>
        <v>0</v>
      </c>
      <c r="I142" s="615">
        <f t="shared" si="14"/>
        <v>0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8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9"/>
        <v>0</v>
      </c>
      <c r="F143" s="486">
        <f t="shared" si="20"/>
        <v>0</v>
      </c>
      <c r="G143" s="486">
        <f t="shared" si="21"/>
        <v>0</v>
      </c>
      <c r="H143" s="614">
        <f t="shared" si="13"/>
        <v>0</v>
      </c>
      <c r="I143" s="615">
        <f t="shared" si="14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8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9"/>
        <v>0</v>
      </c>
      <c r="F144" s="486">
        <f t="shared" si="20"/>
        <v>0</v>
      </c>
      <c r="G144" s="486">
        <f t="shared" si="21"/>
        <v>0</v>
      </c>
      <c r="H144" s="614">
        <f t="shared" si="13"/>
        <v>0</v>
      </c>
      <c r="I144" s="615">
        <f t="shared" si="14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8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9"/>
        <v>0</v>
      </c>
      <c r="F145" s="486">
        <f t="shared" si="20"/>
        <v>0</v>
      </c>
      <c r="G145" s="486">
        <f t="shared" si="21"/>
        <v>0</v>
      </c>
      <c r="H145" s="614">
        <f t="shared" si="13"/>
        <v>0</v>
      </c>
      <c r="I145" s="615">
        <f t="shared" si="14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8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9"/>
        <v>0</v>
      </c>
      <c r="F146" s="486">
        <f t="shared" si="20"/>
        <v>0</v>
      </c>
      <c r="G146" s="486">
        <f t="shared" si="21"/>
        <v>0</v>
      </c>
      <c r="H146" s="614">
        <f t="shared" si="13"/>
        <v>0</v>
      </c>
      <c r="I146" s="615">
        <f t="shared" si="14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8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9"/>
        <v>0</v>
      </c>
      <c r="F147" s="486">
        <f t="shared" si="20"/>
        <v>0</v>
      </c>
      <c r="G147" s="486">
        <f t="shared" si="21"/>
        <v>0</v>
      </c>
      <c r="H147" s="614">
        <f t="shared" si="13"/>
        <v>0</v>
      </c>
      <c r="I147" s="615">
        <f t="shared" si="14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8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9"/>
        <v>0</v>
      </c>
      <c r="F148" s="486">
        <f t="shared" si="20"/>
        <v>0</v>
      </c>
      <c r="G148" s="486">
        <f t="shared" si="21"/>
        <v>0</v>
      </c>
      <c r="H148" s="614">
        <f t="shared" si="13"/>
        <v>0</v>
      </c>
      <c r="I148" s="615">
        <f t="shared" si="14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8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9"/>
        <v>0</v>
      </c>
      <c r="F149" s="486">
        <f t="shared" si="20"/>
        <v>0</v>
      </c>
      <c r="G149" s="486">
        <f t="shared" si="21"/>
        <v>0</v>
      </c>
      <c r="H149" s="614">
        <f t="shared" si="13"/>
        <v>0</v>
      </c>
      <c r="I149" s="615">
        <f t="shared" si="14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8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9"/>
        <v>0</v>
      </c>
      <c r="F150" s="486">
        <f t="shared" si="20"/>
        <v>0</v>
      </c>
      <c r="G150" s="486">
        <f t="shared" si="21"/>
        <v>0</v>
      </c>
      <c r="H150" s="614">
        <f t="shared" si="13"/>
        <v>0</v>
      </c>
      <c r="I150" s="615">
        <f t="shared" si="14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8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9"/>
        <v>0</v>
      </c>
      <c r="F151" s="486">
        <f t="shared" si="20"/>
        <v>0</v>
      </c>
      <c r="G151" s="486">
        <f t="shared" si="21"/>
        <v>0</v>
      </c>
      <c r="H151" s="614">
        <f t="shared" si="13"/>
        <v>0</v>
      </c>
      <c r="I151" s="615">
        <f t="shared" si="14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8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9"/>
        <v>0</v>
      </c>
      <c r="F152" s="486">
        <f t="shared" si="20"/>
        <v>0</v>
      </c>
      <c r="G152" s="486">
        <f t="shared" si="21"/>
        <v>0</v>
      </c>
      <c r="H152" s="614">
        <f t="shared" si="13"/>
        <v>0</v>
      </c>
      <c r="I152" s="615">
        <f t="shared" si="14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8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9"/>
        <v>0</v>
      </c>
      <c r="F153" s="486">
        <f t="shared" si="20"/>
        <v>0</v>
      </c>
      <c r="G153" s="486">
        <f t="shared" si="21"/>
        <v>0</v>
      </c>
      <c r="H153" s="614">
        <f t="shared" si="13"/>
        <v>0</v>
      </c>
      <c r="I153" s="615">
        <f t="shared" si="14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8"/>
        <v/>
      </c>
      <c r="C154" s="490">
        <f>IF(D93="","-",+C153+1)</f>
        <v>2073</v>
      </c>
      <c r="D154" s="492">
        <f>IF(F153+SUM(E$99:E153)=D$92,F153,D$92-SUM(E$99:E153))</f>
        <v>0</v>
      </c>
      <c r="E154" s="492">
        <f t="shared" si="19"/>
        <v>0</v>
      </c>
      <c r="F154" s="491">
        <f t="shared" si="20"/>
        <v>0</v>
      </c>
      <c r="G154" s="491">
        <f t="shared" si="21"/>
        <v>0</v>
      </c>
      <c r="H154" s="616">
        <f t="shared" si="13"/>
        <v>0</v>
      </c>
      <c r="I154" s="617">
        <f t="shared" si="14"/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244000</v>
      </c>
      <c r="F155" s="348"/>
      <c r="G155" s="348"/>
      <c r="H155" s="348">
        <f>SUM(H99:H154)</f>
        <v>760335.28080572211</v>
      </c>
      <c r="I155" s="348">
        <f>SUM(I99:I154)</f>
        <v>760335.28080572211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topLeftCell="E1" zoomScale="80" zoomScaleNormal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23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273320.66219595348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273320.66219595348</v>
      </c>
      <c r="O6" s="233"/>
      <c r="P6" s="233"/>
    </row>
    <row r="7" spans="1:16" ht="13.5" thickBot="1">
      <c r="C7" s="432" t="s">
        <v>46</v>
      </c>
      <c r="D7" s="600" t="s">
        <v>304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305</v>
      </c>
      <c r="E9" s="578" t="s">
        <v>306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1200324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26673.866666666665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19755.555555555555</v>
      </c>
      <c r="F17" s="585">
        <v>1758244.4444444445</v>
      </c>
      <c r="G17" s="609">
        <v>125038.30164155026</v>
      </c>
      <c r="H17" s="588">
        <v>125038.30164155026</v>
      </c>
      <c r="I17" s="476">
        <f>H17-G17</f>
        <v>0</v>
      </c>
      <c r="J17" s="476"/>
      <c r="K17" s="555">
        <f>+G17</f>
        <v>125038.30164155026</v>
      </c>
      <c r="L17" s="478">
        <f t="shared" ref="L17:L72" si="0">IF(K17&lt;&gt;0,+G17-K17,0)</f>
        <v>0</v>
      </c>
      <c r="M17" s="555">
        <f>+H17</f>
        <v>125038.30164155026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2019</v>
      </c>
      <c r="D18" s="585">
        <v>2017244.4444444445</v>
      </c>
      <c r="E18" s="586">
        <v>50925</v>
      </c>
      <c r="F18" s="585">
        <v>1966319.4444444445</v>
      </c>
      <c r="G18" s="586">
        <v>273320.66219595348</v>
      </c>
      <c r="H18" s="588">
        <v>273320.66219595348</v>
      </c>
      <c r="I18" s="476">
        <f>H18-G18</f>
        <v>0</v>
      </c>
      <c r="J18" s="476"/>
      <c r="K18" s="479">
        <f>+G18</f>
        <v>273320.66219595348</v>
      </c>
      <c r="L18" s="479">
        <f t="shared" si="0"/>
        <v>0</v>
      </c>
      <c r="M18" s="479">
        <f>+H18</f>
        <v>273320.66219595348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2020</v>
      </c>
      <c r="D19" s="484">
        <f>IF(F18+SUM(E$17:E18)=D$10,F18,D$10-SUM(E$17:E18))</f>
        <v>1129643.4444444445</v>
      </c>
      <c r="E19" s="485">
        <f t="shared" ref="E19:E71" si="3">IF(+I$14&lt;F18,I$14,D19)</f>
        <v>26673.866666666665</v>
      </c>
      <c r="F19" s="486">
        <f t="shared" ref="F19:F71" si="4">+D19-E19</f>
        <v>1102969.5777777778</v>
      </c>
      <c r="G19" s="487">
        <f t="shared" ref="G19:G71" si="5">(D19+F19)/2*I$12+E19</f>
        <v>177749.66618159728</v>
      </c>
      <c r="H19" s="456">
        <f t="shared" ref="H19:H71" si="6">+(D19+F19)/2*I$13+E19</f>
        <v>177749.66618159728</v>
      </c>
      <c r="I19" s="476">
        <f t="shared" ref="I19:I71" si="7">H19-G19</f>
        <v>0</v>
      </c>
      <c r="J19" s="476"/>
      <c r="K19" s="488"/>
      <c r="L19" s="479">
        <f t="shared" si="0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8">IF(D20=F19,"","IU")</f>
        <v/>
      </c>
      <c r="C20" s="473">
        <f>IF(D11="","-",+C19+1)</f>
        <v>2021</v>
      </c>
      <c r="D20" s="484">
        <f>IF(F19+SUM(E$17:E19)=D$10,F19,D$10-SUM(E$17:E19))</f>
        <v>1102969.5777777778</v>
      </c>
      <c r="E20" s="485">
        <f t="shared" si="3"/>
        <v>26673.866666666665</v>
      </c>
      <c r="F20" s="486">
        <f t="shared" si="4"/>
        <v>1076295.7111111111</v>
      </c>
      <c r="G20" s="487">
        <f t="shared" si="5"/>
        <v>174139.74749644124</v>
      </c>
      <c r="H20" s="456">
        <f t="shared" si="6"/>
        <v>174139.74749644124</v>
      </c>
      <c r="I20" s="476">
        <f t="shared" si="7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8"/>
        <v/>
      </c>
      <c r="C21" s="473">
        <f>IF(D11="","-",+C20+1)</f>
        <v>2022</v>
      </c>
      <c r="D21" s="484">
        <f>IF(F20+SUM(E$17:E20)=D$10,F20,D$10-SUM(E$17:E20))</f>
        <v>1076295.7111111111</v>
      </c>
      <c r="E21" s="485">
        <f t="shared" si="3"/>
        <v>26673.866666666665</v>
      </c>
      <c r="F21" s="486">
        <f t="shared" si="4"/>
        <v>1049621.8444444444</v>
      </c>
      <c r="G21" s="487">
        <f t="shared" si="5"/>
        <v>170529.82881128523</v>
      </c>
      <c r="H21" s="456">
        <f t="shared" si="6"/>
        <v>170529.82881128523</v>
      </c>
      <c r="I21" s="476">
        <f t="shared" si="7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8"/>
        <v/>
      </c>
      <c r="C22" s="473">
        <f>IF(D11="","-",+C21+1)</f>
        <v>2023</v>
      </c>
      <c r="D22" s="484">
        <f>IF(F21+SUM(E$17:E21)=D$10,F21,D$10-SUM(E$17:E21))</f>
        <v>1049621.8444444444</v>
      </c>
      <c r="E22" s="485">
        <f t="shared" si="3"/>
        <v>26673.866666666665</v>
      </c>
      <c r="F22" s="486">
        <f t="shared" si="4"/>
        <v>1022947.9777777777</v>
      </c>
      <c r="G22" s="487">
        <f t="shared" si="5"/>
        <v>166919.91012612922</v>
      </c>
      <c r="H22" s="456">
        <f t="shared" si="6"/>
        <v>166919.91012612922</v>
      </c>
      <c r="I22" s="476">
        <f t="shared" si="7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8"/>
        <v/>
      </c>
      <c r="C23" s="473">
        <f>IF(D11="","-",+C22+1)</f>
        <v>2024</v>
      </c>
      <c r="D23" s="484">
        <f>IF(F22+SUM(E$17:E22)=D$10,F22,D$10-SUM(E$17:E22))</f>
        <v>1022947.9777777777</v>
      </c>
      <c r="E23" s="485">
        <f t="shared" si="3"/>
        <v>26673.866666666665</v>
      </c>
      <c r="F23" s="486">
        <f t="shared" si="4"/>
        <v>996274.11111111101</v>
      </c>
      <c r="G23" s="487">
        <f t="shared" si="5"/>
        <v>163309.99144097319</v>
      </c>
      <c r="H23" s="456">
        <f t="shared" si="6"/>
        <v>163309.99144097319</v>
      </c>
      <c r="I23" s="476">
        <f t="shared" si="7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8"/>
        <v/>
      </c>
      <c r="C24" s="473">
        <f>IF(D11="","-",+C23+1)</f>
        <v>2025</v>
      </c>
      <c r="D24" s="484">
        <f>IF(F23+SUM(E$17:E23)=D$10,F23,D$10-SUM(E$17:E23))</f>
        <v>996274.11111111101</v>
      </c>
      <c r="E24" s="485">
        <f t="shared" si="3"/>
        <v>26673.866666666665</v>
      </c>
      <c r="F24" s="486">
        <f t="shared" si="4"/>
        <v>969600.24444444431</v>
      </c>
      <c r="G24" s="487">
        <f t="shared" si="5"/>
        <v>159700.07275581718</v>
      </c>
      <c r="H24" s="456">
        <f t="shared" si="6"/>
        <v>159700.07275581718</v>
      </c>
      <c r="I24" s="476">
        <f t="shared" si="7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8"/>
        <v/>
      </c>
      <c r="C25" s="473">
        <f>IF(D11="","-",+C24+1)</f>
        <v>2026</v>
      </c>
      <c r="D25" s="484">
        <f>IF(F24+SUM(E$17:E24)=D$10,F24,D$10-SUM(E$17:E24))</f>
        <v>969600.24444444431</v>
      </c>
      <c r="E25" s="485">
        <f t="shared" si="3"/>
        <v>26673.866666666665</v>
      </c>
      <c r="F25" s="486">
        <f t="shared" si="4"/>
        <v>942926.37777777761</v>
      </c>
      <c r="G25" s="487">
        <f t="shared" si="5"/>
        <v>156090.15407066114</v>
      </c>
      <c r="H25" s="456">
        <f t="shared" si="6"/>
        <v>156090.15407066114</v>
      </c>
      <c r="I25" s="476">
        <f t="shared" si="7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8"/>
        <v/>
      </c>
      <c r="C26" s="473">
        <f>IF(D11="","-",+C25+1)</f>
        <v>2027</v>
      </c>
      <c r="D26" s="484">
        <f>IF(F25+SUM(E$17:E25)=D$10,F25,D$10-SUM(E$17:E25))</f>
        <v>942926.37777777761</v>
      </c>
      <c r="E26" s="485">
        <f t="shared" si="3"/>
        <v>26673.866666666665</v>
      </c>
      <c r="F26" s="486">
        <f t="shared" si="4"/>
        <v>916252.51111111091</v>
      </c>
      <c r="G26" s="487">
        <f t="shared" si="5"/>
        <v>152480.2353855051</v>
      </c>
      <c r="H26" s="456">
        <f t="shared" si="6"/>
        <v>152480.2353855051</v>
      </c>
      <c r="I26" s="476">
        <f t="shared" si="7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8"/>
        <v/>
      </c>
      <c r="C27" s="473">
        <f>IF(D11="","-",+C26+1)</f>
        <v>2028</v>
      </c>
      <c r="D27" s="484">
        <f>IF(F26+SUM(E$17:E26)=D$10,F26,D$10-SUM(E$17:E26))</f>
        <v>916252.51111111091</v>
      </c>
      <c r="E27" s="485">
        <f t="shared" si="3"/>
        <v>26673.866666666665</v>
      </c>
      <c r="F27" s="486">
        <f t="shared" si="4"/>
        <v>889578.64444444422</v>
      </c>
      <c r="G27" s="487">
        <f t="shared" si="5"/>
        <v>148870.3167003491</v>
      </c>
      <c r="H27" s="456">
        <f t="shared" si="6"/>
        <v>148870.3167003491</v>
      </c>
      <c r="I27" s="476">
        <f t="shared" si="7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8"/>
        <v/>
      </c>
      <c r="C28" s="473">
        <f>IF(D11="","-",+C27+1)</f>
        <v>2029</v>
      </c>
      <c r="D28" s="484">
        <f>IF(F27+SUM(E$17:E27)=D$10,F27,D$10-SUM(E$17:E27))</f>
        <v>889578.64444444422</v>
      </c>
      <c r="E28" s="485">
        <f t="shared" si="3"/>
        <v>26673.866666666665</v>
      </c>
      <c r="F28" s="486">
        <f t="shared" si="4"/>
        <v>862904.77777777752</v>
      </c>
      <c r="G28" s="487">
        <f t="shared" si="5"/>
        <v>145260.39801519306</v>
      </c>
      <c r="H28" s="456">
        <f t="shared" si="6"/>
        <v>145260.39801519306</v>
      </c>
      <c r="I28" s="476">
        <f t="shared" si="7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8"/>
        <v/>
      </c>
      <c r="C29" s="473">
        <f>IF(D11="","-",+C28+1)</f>
        <v>2030</v>
      </c>
      <c r="D29" s="484">
        <f>IF(F28+SUM(E$17:E28)=D$10,F28,D$10-SUM(E$17:E28))</f>
        <v>862904.77777777752</v>
      </c>
      <c r="E29" s="485">
        <f t="shared" si="3"/>
        <v>26673.866666666665</v>
      </c>
      <c r="F29" s="486">
        <f t="shared" si="4"/>
        <v>836230.91111111082</v>
      </c>
      <c r="G29" s="487">
        <f t="shared" si="5"/>
        <v>141650.47933003705</v>
      </c>
      <c r="H29" s="456">
        <f t="shared" si="6"/>
        <v>141650.47933003705</v>
      </c>
      <c r="I29" s="476">
        <f t="shared" si="7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8"/>
        <v/>
      </c>
      <c r="C30" s="473">
        <f>IF(D11="","-",+C29+1)</f>
        <v>2031</v>
      </c>
      <c r="D30" s="484">
        <f>IF(F29+SUM(E$17:E29)=D$10,F29,D$10-SUM(E$17:E29))</f>
        <v>836230.91111111082</v>
      </c>
      <c r="E30" s="485">
        <f t="shared" si="3"/>
        <v>26673.866666666665</v>
      </c>
      <c r="F30" s="486">
        <f t="shared" si="4"/>
        <v>809557.04444444412</v>
      </c>
      <c r="G30" s="487">
        <f t="shared" si="5"/>
        <v>138040.56064488101</v>
      </c>
      <c r="H30" s="456">
        <f t="shared" si="6"/>
        <v>138040.56064488101</v>
      </c>
      <c r="I30" s="476">
        <f t="shared" si="7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8"/>
        <v/>
      </c>
      <c r="C31" s="473">
        <f>IF(D11="","-",+C30+1)</f>
        <v>2032</v>
      </c>
      <c r="D31" s="484">
        <f>IF(F30+SUM(E$17:E30)=D$10,F30,D$10-SUM(E$17:E30))</f>
        <v>809557.04444444412</v>
      </c>
      <c r="E31" s="485">
        <f t="shared" si="3"/>
        <v>26673.866666666665</v>
      </c>
      <c r="F31" s="486">
        <f t="shared" si="4"/>
        <v>782883.17777777743</v>
      </c>
      <c r="G31" s="487">
        <f t="shared" si="5"/>
        <v>134430.64195972501</v>
      </c>
      <c r="H31" s="456">
        <f t="shared" si="6"/>
        <v>134430.64195972501</v>
      </c>
      <c r="I31" s="476">
        <f t="shared" si="7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8"/>
        <v/>
      </c>
      <c r="C32" s="473">
        <f>IF(D11="","-",+C31+1)</f>
        <v>2033</v>
      </c>
      <c r="D32" s="484">
        <f>IF(F31+SUM(E$17:E31)=D$10,F31,D$10-SUM(E$17:E31))</f>
        <v>782883.17777777743</v>
      </c>
      <c r="E32" s="485">
        <f t="shared" si="3"/>
        <v>26673.866666666665</v>
      </c>
      <c r="F32" s="486">
        <f t="shared" si="4"/>
        <v>756209.31111111073</v>
      </c>
      <c r="G32" s="487">
        <f t="shared" si="5"/>
        <v>130820.723274569</v>
      </c>
      <c r="H32" s="456">
        <f t="shared" si="6"/>
        <v>130820.723274569</v>
      </c>
      <c r="I32" s="476">
        <f t="shared" si="7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8"/>
        <v/>
      </c>
      <c r="C33" s="473">
        <f>IF(D11="","-",+C32+1)</f>
        <v>2034</v>
      </c>
      <c r="D33" s="484">
        <f>IF(F32+SUM(E$17:E32)=D$10,F32,D$10-SUM(E$17:E32))</f>
        <v>756209.31111111073</v>
      </c>
      <c r="E33" s="485">
        <f t="shared" si="3"/>
        <v>26673.866666666665</v>
      </c>
      <c r="F33" s="486">
        <f t="shared" si="4"/>
        <v>729535.44444444403</v>
      </c>
      <c r="G33" s="487">
        <f t="shared" si="5"/>
        <v>127210.80458941298</v>
      </c>
      <c r="H33" s="456">
        <f t="shared" si="6"/>
        <v>127210.80458941298</v>
      </c>
      <c r="I33" s="476">
        <f t="shared" si="7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8"/>
        <v/>
      </c>
      <c r="C34" s="473">
        <f>IF(D11="","-",+C33+1)</f>
        <v>2035</v>
      </c>
      <c r="D34" s="484">
        <f>IF(F33+SUM(E$17:E33)=D$10,F33,D$10-SUM(E$17:E33))</f>
        <v>729535.44444444403</v>
      </c>
      <c r="E34" s="485">
        <f t="shared" si="3"/>
        <v>26673.866666666665</v>
      </c>
      <c r="F34" s="486">
        <f t="shared" si="4"/>
        <v>702861.57777777733</v>
      </c>
      <c r="G34" s="487">
        <f t="shared" si="5"/>
        <v>123600.88590425695</v>
      </c>
      <c r="H34" s="456">
        <f t="shared" si="6"/>
        <v>123600.88590425695</v>
      </c>
      <c r="I34" s="476">
        <f t="shared" si="7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8"/>
        <v/>
      </c>
      <c r="C35" s="473">
        <f>IF(D11="","-",+C34+1)</f>
        <v>2036</v>
      </c>
      <c r="D35" s="484">
        <f>IF(F34+SUM(E$17:E34)=D$10,F34,D$10-SUM(E$17:E34))</f>
        <v>702861.57777777733</v>
      </c>
      <c r="E35" s="485">
        <f t="shared" si="3"/>
        <v>26673.866666666665</v>
      </c>
      <c r="F35" s="486">
        <f t="shared" si="4"/>
        <v>676187.71111111064</v>
      </c>
      <c r="G35" s="487">
        <f t="shared" si="5"/>
        <v>119990.96721910093</v>
      </c>
      <c r="H35" s="456">
        <f t="shared" si="6"/>
        <v>119990.96721910093</v>
      </c>
      <c r="I35" s="476">
        <f t="shared" si="7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8"/>
        <v/>
      </c>
      <c r="C36" s="473">
        <f>IF(D11="","-",+C35+1)</f>
        <v>2037</v>
      </c>
      <c r="D36" s="484">
        <f>IF(F35+SUM(E$17:E35)=D$10,F35,D$10-SUM(E$17:E35))</f>
        <v>676187.71111111064</v>
      </c>
      <c r="E36" s="485">
        <f t="shared" si="3"/>
        <v>26673.866666666665</v>
      </c>
      <c r="F36" s="486">
        <f t="shared" si="4"/>
        <v>649513.84444444394</v>
      </c>
      <c r="G36" s="487">
        <f t="shared" si="5"/>
        <v>116381.04853394491</v>
      </c>
      <c r="H36" s="456">
        <f t="shared" si="6"/>
        <v>116381.04853394491</v>
      </c>
      <c r="I36" s="476">
        <f t="shared" si="7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8"/>
        <v/>
      </c>
      <c r="C37" s="473">
        <f>IF(D11="","-",+C36+1)</f>
        <v>2038</v>
      </c>
      <c r="D37" s="484">
        <f>IF(F36+SUM(E$17:E36)=D$10,F36,D$10-SUM(E$17:E36))</f>
        <v>649513.84444444394</v>
      </c>
      <c r="E37" s="485">
        <f t="shared" si="3"/>
        <v>26673.866666666665</v>
      </c>
      <c r="F37" s="486">
        <f t="shared" si="4"/>
        <v>622839.97777777724</v>
      </c>
      <c r="G37" s="487">
        <f t="shared" si="5"/>
        <v>112771.12984878889</v>
      </c>
      <c r="H37" s="456">
        <f t="shared" si="6"/>
        <v>112771.12984878889</v>
      </c>
      <c r="I37" s="476">
        <f t="shared" si="7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8"/>
        <v/>
      </c>
      <c r="C38" s="473">
        <f>IF(D11="","-",+C37+1)</f>
        <v>2039</v>
      </c>
      <c r="D38" s="484">
        <f>IF(F37+SUM(E$17:E37)=D$10,F37,D$10-SUM(E$17:E37))</f>
        <v>622839.97777777724</v>
      </c>
      <c r="E38" s="485">
        <f t="shared" si="3"/>
        <v>26673.866666666665</v>
      </c>
      <c r="F38" s="486">
        <f t="shared" si="4"/>
        <v>596166.11111111054</v>
      </c>
      <c r="G38" s="487">
        <f t="shared" si="5"/>
        <v>109161.21116363286</v>
      </c>
      <c r="H38" s="456">
        <f t="shared" si="6"/>
        <v>109161.21116363286</v>
      </c>
      <c r="I38" s="476">
        <f t="shared" si="7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8"/>
        <v/>
      </c>
      <c r="C39" s="473">
        <f>IF(D11="","-",+C38+1)</f>
        <v>2040</v>
      </c>
      <c r="D39" s="484">
        <f>IF(F38+SUM(E$17:E38)=D$10,F38,D$10-SUM(E$17:E38))</f>
        <v>596166.11111111054</v>
      </c>
      <c r="E39" s="485">
        <f t="shared" si="3"/>
        <v>26673.866666666665</v>
      </c>
      <c r="F39" s="486">
        <f t="shared" si="4"/>
        <v>569492.24444444384</v>
      </c>
      <c r="G39" s="487">
        <f t="shared" si="5"/>
        <v>105551.29247847684</v>
      </c>
      <c r="H39" s="456">
        <f t="shared" si="6"/>
        <v>105551.29247847684</v>
      </c>
      <c r="I39" s="476">
        <f t="shared" si="7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8"/>
        <v/>
      </c>
      <c r="C40" s="473">
        <f>IF(D11="","-",+C39+1)</f>
        <v>2041</v>
      </c>
      <c r="D40" s="484">
        <f>IF(F39+SUM(E$17:E39)=D$10,F39,D$10-SUM(E$17:E39))</f>
        <v>569492.24444444384</v>
      </c>
      <c r="E40" s="485">
        <f t="shared" si="3"/>
        <v>26673.866666666665</v>
      </c>
      <c r="F40" s="486">
        <f t="shared" si="4"/>
        <v>542818.37777777715</v>
      </c>
      <c r="G40" s="487">
        <f t="shared" si="5"/>
        <v>101941.37379332082</v>
      </c>
      <c r="H40" s="456">
        <f t="shared" si="6"/>
        <v>101941.37379332082</v>
      </c>
      <c r="I40" s="476">
        <f t="shared" si="7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8"/>
        <v/>
      </c>
      <c r="C41" s="473">
        <f>IF(D11="","-",+C40+1)</f>
        <v>2042</v>
      </c>
      <c r="D41" s="484">
        <f>IF(F40+SUM(E$17:E40)=D$10,F40,D$10-SUM(E$17:E40))</f>
        <v>542818.37777777715</v>
      </c>
      <c r="E41" s="485">
        <f t="shared" si="3"/>
        <v>26673.866666666665</v>
      </c>
      <c r="F41" s="486">
        <f t="shared" si="4"/>
        <v>516144.51111111051</v>
      </c>
      <c r="G41" s="487">
        <f t="shared" si="5"/>
        <v>98331.455108164795</v>
      </c>
      <c r="H41" s="456">
        <f t="shared" si="6"/>
        <v>98331.455108164795</v>
      </c>
      <c r="I41" s="476">
        <f t="shared" si="7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8"/>
        <v/>
      </c>
      <c r="C42" s="473">
        <f>IF(D11="","-",+C41+1)</f>
        <v>2043</v>
      </c>
      <c r="D42" s="484">
        <f>IF(F41+SUM(E$17:E41)=D$10,F41,D$10-SUM(E$17:E41))</f>
        <v>516144.51111111051</v>
      </c>
      <c r="E42" s="485">
        <f t="shared" si="3"/>
        <v>26673.866666666665</v>
      </c>
      <c r="F42" s="486">
        <f t="shared" si="4"/>
        <v>489470.64444444387</v>
      </c>
      <c r="G42" s="487">
        <f t="shared" si="5"/>
        <v>94721.536423008787</v>
      </c>
      <c r="H42" s="456">
        <f t="shared" si="6"/>
        <v>94721.536423008787</v>
      </c>
      <c r="I42" s="476">
        <f t="shared" si="7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8"/>
        <v/>
      </c>
      <c r="C43" s="473">
        <f>IF(D11="","-",+C42+1)</f>
        <v>2044</v>
      </c>
      <c r="D43" s="484">
        <f>IF(F42+SUM(E$17:E42)=D$10,F42,D$10-SUM(E$17:E42))</f>
        <v>489470.64444444387</v>
      </c>
      <c r="E43" s="485">
        <f t="shared" si="3"/>
        <v>26673.866666666665</v>
      </c>
      <c r="F43" s="486">
        <f t="shared" si="4"/>
        <v>462796.77777777723</v>
      </c>
      <c r="G43" s="487">
        <f t="shared" si="5"/>
        <v>91111.617737852765</v>
      </c>
      <c r="H43" s="456">
        <f t="shared" si="6"/>
        <v>91111.617737852765</v>
      </c>
      <c r="I43" s="476">
        <f t="shared" si="7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8"/>
        <v/>
      </c>
      <c r="C44" s="473">
        <f>IF(D11="","-",+C43+1)</f>
        <v>2045</v>
      </c>
      <c r="D44" s="484">
        <f>IF(F43+SUM(E$17:E43)=D$10,F43,D$10-SUM(E$17:E43))</f>
        <v>462796.77777777723</v>
      </c>
      <c r="E44" s="485">
        <f t="shared" si="3"/>
        <v>26673.866666666665</v>
      </c>
      <c r="F44" s="486">
        <f t="shared" si="4"/>
        <v>436122.91111111059</v>
      </c>
      <c r="G44" s="487">
        <f t="shared" si="5"/>
        <v>87501.699052696757</v>
      </c>
      <c r="H44" s="456">
        <f t="shared" si="6"/>
        <v>87501.699052696757</v>
      </c>
      <c r="I44" s="476">
        <f t="shared" si="7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8"/>
        <v/>
      </c>
      <c r="C45" s="473">
        <f>IF(D11="","-",+C44+1)</f>
        <v>2046</v>
      </c>
      <c r="D45" s="484">
        <f>IF(F44+SUM(E$17:E44)=D$10,F44,D$10-SUM(E$17:E44))</f>
        <v>436122.91111111059</v>
      </c>
      <c r="E45" s="485">
        <f t="shared" si="3"/>
        <v>26673.866666666665</v>
      </c>
      <c r="F45" s="486">
        <f t="shared" si="4"/>
        <v>409449.04444444395</v>
      </c>
      <c r="G45" s="487">
        <f t="shared" si="5"/>
        <v>83891.780367540734</v>
      </c>
      <c r="H45" s="456">
        <f t="shared" si="6"/>
        <v>83891.780367540734</v>
      </c>
      <c r="I45" s="476">
        <f t="shared" si="7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8"/>
        <v/>
      </c>
      <c r="C46" s="473">
        <f>IF(D11="","-",+C45+1)</f>
        <v>2047</v>
      </c>
      <c r="D46" s="484">
        <f>IF(F45+SUM(E$17:E45)=D$10,F45,D$10-SUM(E$17:E45))</f>
        <v>409449.04444444395</v>
      </c>
      <c r="E46" s="485">
        <f t="shared" si="3"/>
        <v>26673.866666666665</v>
      </c>
      <c r="F46" s="486">
        <f t="shared" si="4"/>
        <v>382775.17777777731</v>
      </c>
      <c r="G46" s="487">
        <f t="shared" si="5"/>
        <v>80281.861682384726</v>
      </c>
      <c r="H46" s="456">
        <f t="shared" si="6"/>
        <v>80281.861682384726</v>
      </c>
      <c r="I46" s="476">
        <f t="shared" si="7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8"/>
        <v/>
      </c>
      <c r="C47" s="473">
        <f>IF(D11="","-",+C46+1)</f>
        <v>2048</v>
      </c>
      <c r="D47" s="484">
        <f>IF(F46+SUM(E$17:E46)=D$10,F46,D$10-SUM(E$17:E46))</f>
        <v>382775.17777777731</v>
      </c>
      <c r="E47" s="485">
        <f t="shared" si="3"/>
        <v>26673.866666666665</v>
      </c>
      <c r="F47" s="486">
        <f t="shared" si="4"/>
        <v>356101.31111111067</v>
      </c>
      <c r="G47" s="487">
        <f t="shared" si="5"/>
        <v>76671.942997228703</v>
      </c>
      <c r="H47" s="456">
        <f t="shared" si="6"/>
        <v>76671.942997228703</v>
      </c>
      <c r="I47" s="476">
        <f t="shared" si="7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8"/>
        <v/>
      </c>
      <c r="C48" s="473">
        <f>IF(D11="","-",+C47+1)</f>
        <v>2049</v>
      </c>
      <c r="D48" s="484">
        <f>IF(F47+SUM(E$17:E47)=D$10,F47,D$10-SUM(E$17:E47))</f>
        <v>356101.31111111067</v>
      </c>
      <c r="E48" s="485">
        <f t="shared" si="3"/>
        <v>26673.866666666665</v>
      </c>
      <c r="F48" s="486">
        <f t="shared" si="4"/>
        <v>329427.44444444403</v>
      </c>
      <c r="G48" s="487">
        <f t="shared" si="5"/>
        <v>73062.02431207271</v>
      </c>
      <c r="H48" s="456">
        <f t="shared" si="6"/>
        <v>73062.02431207271</v>
      </c>
      <c r="I48" s="476">
        <f t="shared" si="7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8"/>
        <v/>
      </c>
      <c r="C49" s="473">
        <f>IF(D11="","-",+C48+1)</f>
        <v>2050</v>
      </c>
      <c r="D49" s="484">
        <f>IF(F48+SUM(E$17:E48)=D$10,F48,D$10-SUM(E$17:E48))</f>
        <v>329427.44444444403</v>
      </c>
      <c r="E49" s="485">
        <f t="shared" si="3"/>
        <v>26673.866666666665</v>
      </c>
      <c r="F49" s="486">
        <f t="shared" si="4"/>
        <v>302753.57777777739</v>
      </c>
      <c r="G49" s="487">
        <f t="shared" si="5"/>
        <v>69452.105626916687</v>
      </c>
      <c r="H49" s="456">
        <f t="shared" si="6"/>
        <v>69452.105626916687</v>
      </c>
      <c r="I49" s="476">
        <f t="shared" si="7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8"/>
        <v/>
      </c>
      <c r="C50" s="473">
        <f>IF(D11="","-",+C49+1)</f>
        <v>2051</v>
      </c>
      <c r="D50" s="484">
        <f>IF(F49+SUM(E$17:E49)=D$10,F49,D$10-SUM(E$17:E49))</f>
        <v>302753.57777777739</v>
      </c>
      <c r="E50" s="485">
        <f t="shared" si="3"/>
        <v>26673.866666666665</v>
      </c>
      <c r="F50" s="486">
        <f t="shared" si="4"/>
        <v>276079.71111111075</v>
      </c>
      <c r="G50" s="487">
        <f t="shared" si="5"/>
        <v>65842.186941760679</v>
      </c>
      <c r="H50" s="456">
        <f t="shared" si="6"/>
        <v>65842.186941760679</v>
      </c>
      <c r="I50" s="476">
        <f t="shared" si="7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8"/>
        <v/>
      </c>
      <c r="C51" s="473">
        <f>IF(D11="","-",+C50+1)</f>
        <v>2052</v>
      </c>
      <c r="D51" s="484">
        <f>IF(F50+SUM(E$17:E50)=D$10,F50,D$10-SUM(E$17:E50))</f>
        <v>276079.71111111075</v>
      </c>
      <c r="E51" s="485">
        <f t="shared" si="3"/>
        <v>26673.866666666665</v>
      </c>
      <c r="F51" s="486">
        <f t="shared" si="4"/>
        <v>249405.84444444408</v>
      </c>
      <c r="G51" s="487">
        <f t="shared" si="5"/>
        <v>62232.268256604657</v>
      </c>
      <c r="H51" s="456">
        <f t="shared" si="6"/>
        <v>62232.268256604657</v>
      </c>
      <c r="I51" s="476">
        <f t="shared" si="7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8"/>
        <v/>
      </c>
      <c r="C52" s="473">
        <f>IF(D11="","-",+C51+1)</f>
        <v>2053</v>
      </c>
      <c r="D52" s="484">
        <f>IF(F51+SUM(E$17:E51)=D$10,F51,D$10-SUM(E$17:E51))</f>
        <v>249405.84444444408</v>
      </c>
      <c r="E52" s="485">
        <f t="shared" si="3"/>
        <v>26673.866666666665</v>
      </c>
      <c r="F52" s="486">
        <f t="shared" si="4"/>
        <v>222731.97777777741</v>
      </c>
      <c r="G52" s="487">
        <f t="shared" si="5"/>
        <v>58622.349571448634</v>
      </c>
      <c r="H52" s="456">
        <f t="shared" si="6"/>
        <v>58622.349571448634</v>
      </c>
      <c r="I52" s="476">
        <f t="shared" si="7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8"/>
        <v/>
      </c>
      <c r="C53" s="473">
        <f>IF(D11="","-",+C52+1)</f>
        <v>2054</v>
      </c>
      <c r="D53" s="484">
        <f>IF(F52+SUM(E$17:E52)=D$10,F52,D$10-SUM(E$17:E52))</f>
        <v>222731.97777777741</v>
      </c>
      <c r="E53" s="485">
        <f t="shared" si="3"/>
        <v>26673.866666666665</v>
      </c>
      <c r="F53" s="486">
        <f t="shared" si="4"/>
        <v>196058.11111111075</v>
      </c>
      <c r="G53" s="487">
        <f t="shared" si="5"/>
        <v>55012.430886292619</v>
      </c>
      <c r="H53" s="456">
        <f t="shared" si="6"/>
        <v>55012.430886292619</v>
      </c>
      <c r="I53" s="476">
        <f t="shared" si="7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8"/>
        <v/>
      </c>
      <c r="C54" s="473">
        <f>IF(D11="","-",+C53+1)</f>
        <v>2055</v>
      </c>
      <c r="D54" s="484">
        <f>IF(F53+SUM(E$17:E53)=D$10,F53,D$10-SUM(E$17:E53))</f>
        <v>196058.11111111075</v>
      </c>
      <c r="E54" s="485">
        <f t="shared" si="3"/>
        <v>26673.866666666665</v>
      </c>
      <c r="F54" s="486">
        <f t="shared" si="4"/>
        <v>169384.24444444408</v>
      </c>
      <c r="G54" s="487">
        <f t="shared" si="5"/>
        <v>51402.512201136604</v>
      </c>
      <c r="H54" s="456">
        <f t="shared" si="6"/>
        <v>51402.512201136604</v>
      </c>
      <c r="I54" s="476">
        <f t="shared" si="7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8"/>
        <v/>
      </c>
      <c r="C55" s="473">
        <f>IF(D11="","-",+C54+1)</f>
        <v>2056</v>
      </c>
      <c r="D55" s="484">
        <f>IF(F54+SUM(E$17:E54)=D$10,F54,D$10-SUM(E$17:E54))</f>
        <v>169384.24444444408</v>
      </c>
      <c r="E55" s="485">
        <f t="shared" si="3"/>
        <v>26673.866666666665</v>
      </c>
      <c r="F55" s="486">
        <f t="shared" si="4"/>
        <v>142710.37777777741</v>
      </c>
      <c r="G55" s="487">
        <f t="shared" si="5"/>
        <v>47792.593515980581</v>
      </c>
      <c r="H55" s="456">
        <f t="shared" si="6"/>
        <v>47792.593515980581</v>
      </c>
      <c r="I55" s="476">
        <f t="shared" si="7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8"/>
        <v/>
      </c>
      <c r="C56" s="473">
        <f>IF(D11="","-",+C55+1)</f>
        <v>2057</v>
      </c>
      <c r="D56" s="484">
        <f>IF(F55+SUM(E$17:E55)=D$10,F55,D$10-SUM(E$17:E55))</f>
        <v>142710.37777777741</v>
      </c>
      <c r="E56" s="485">
        <f t="shared" si="3"/>
        <v>26673.866666666665</v>
      </c>
      <c r="F56" s="486">
        <f t="shared" si="4"/>
        <v>116036.51111111074</v>
      </c>
      <c r="G56" s="487">
        <f t="shared" si="5"/>
        <v>44182.674830824566</v>
      </c>
      <c r="H56" s="456">
        <f t="shared" si="6"/>
        <v>44182.674830824566</v>
      </c>
      <c r="I56" s="476">
        <f t="shared" si="7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8"/>
        <v/>
      </c>
      <c r="C57" s="473">
        <f>IF(D11="","-",+C56+1)</f>
        <v>2058</v>
      </c>
      <c r="D57" s="484">
        <f>IF(F56+SUM(E$17:E56)=D$10,F56,D$10-SUM(E$17:E56))</f>
        <v>116036.51111111074</v>
      </c>
      <c r="E57" s="485">
        <f t="shared" si="3"/>
        <v>26673.866666666665</v>
      </c>
      <c r="F57" s="486">
        <f t="shared" si="4"/>
        <v>89362.644444444071</v>
      </c>
      <c r="G57" s="487">
        <f t="shared" si="5"/>
        <v>40572.756145668551</v>
      </c>
      <c r="H57" s="456">
        <f t="shared" si="6"/>
        <v>40572.756145668551</v>
      </c>
      <c r="I57" s="476">
        <f t="shared" si="7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8"/>
        <v/>
      </c>
      <c r="C58" s="473">
        <f>IF(D11="","-",+C57+1)</f>
        <v>2059</v>
      </c>
      <c r="D58" s="484">
        <f>IF(F57+SUM(E$17:E57)=D$10,F57,D$10-SUM(E$17:E57))</f>
        <v>89362.644444444071</v>
      </c>
      <c r="E58" s="485">
        <f t="shared" si="3"/>
        <v>26673.866666666665</v>
      </c>
      <c r="F58" s="486">
        <f t="shared" si="4"/>
        <v>62688.777777777403</v>
      </c>
      <c r="G58" s="487">
        <f t="shared" si="5"/>
        <v>36962.837460512528</v>
      </c>
      <c r="H58" s="456">
        <f t="shared" si="6"/>
        <v>36962.837460512528</v>
      </c>
      <c r="I58" s="476">
        <f t="shared" si="7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8"/>
        <v/>
      </c>
      <c r="C59" s="473">
        <f>IF(D11="","-",+C58+1)</f>
        <v>2060</v>
      </c>
      <c r="D59" s="484">
        <f>IF(F58+SUM(E$17:E58)=D$10,F58,D$10-SUM(E$17:E58))</f>
        <v>62688.777777777403</v>
      </c>
      <c r="E59" s="485">
        <f t="shared" si="3"/>
        <v>26673.866666666665</v>
      </c>
      <c r="F59" s="486">
        <f t="shared" si="4"/>
        <v>36014.911111110734</v>
      </c>
      <c r="G59" s="487">
        <f t="shared" si="5"/>
        <v>33352.918775356513</v>
      </c>
      <c r="H59" s="456">
        <f t="shared" si="6"/>
        <v>33352.918775356513</v>
      </c>
      <c r="I59" s="476">
        <f t="shared" si="7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8"/>
        <v/>
      </c>
      <c r="C60" s="473">
        <f>IF(D11="","-",+C59+1)</f>
        <v>2061</v>
      </c>
      <c r="D60" s="484">
        <f>IF(F59+SUM(E$17:E59)=D$10,F59,D$10-SUM(E$17:E59))</f>
        <v>36014.911111110734</v>
      </c>
      <c r="E60" s="485">
        <f t="shared" si="3"/>
        <v>26673.866666666665</v>
      </c>
      <c r="F60" s="486">
        <f t="shared" si="4"/>
        <v>9341.0444444440691</v>
      </c>
      <c r="G60" s="487">
        <f t="shared" si="5"/>
        <v>29743.000090200494</v>
      </c>
      <c r="H60" s="456">
        <f t="shared" si="6"/>
        <v>29743.000090200494</v>
      </c>
      <c r="I60" s="476">
        <f t="shared" si="7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8"/>
        <v/>
      </c>
      <c r="C61" s="473">
        <f>IF(D11="","-",+C60+1)</f>
        <v>2062</v>
      </c>
      <c r="D61" s="484">
        <f>IF(F60+SUM(E$17:E60)=D$10,F60,D$10-SUM(E$17:E60))</f>
        <v>9341.0444444440691</v>
      </c>
      <c r="E61" s="485">
        <f t="shared" si="3"/>
        <v>9341.0444444440691</v>
      </c>
      <c r="F61" s="486">
        <f t="shared" si="4"/>
        <v>0</v>
      </c>
      <c r="G61" s="487">
        <f t="shared" si="5"/>
        <v>9973.1314849219798</v>
      </c>
      <c r="H61" s="456">
        <f t="shared" si="6"/>
        <v>9973.1314849219798</v>
      </c>
      <c r="I61" s="476">
        <f t="shared" si="7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8"/>
        <v/>
      </c>
      <c r="C62" s="473">
        <f>IF(D11="","-",+C61+1)</f>
        <v>2063</v>
      </c>
      <c r="D62" s="484">
        <f>IF(F61+SUM(E$17:E61)=D$10,F61,D$10-SUM(E$17:E61))</f>
        <v>0</v>
      </c>
      <c r="E62" s="485">
        <f t="shared" si="3"/>
        <v>0</v>
      </c>
      <c r="F62" s="486">
        <f t="shared" si="4"/>
        <v>0</v>
      </c>
      <c r="G62" s="487">
        <f t="shared" si="5"/>
        <v>0</v>
      </c>
      <c r="H62" s="456">
        <f t="shared" si="6"/>
        <v>0</v>
      </c>
      <c r="I62" s="476">
        <f t="shared" si="7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8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3"/>
        <v>0</v>
      </c>
      <c r="F63" s="486">
        <f t="shared" si="4"/>
        <v>0</v>
      </c>
      <c r="G63" s="487">
        <f t="shared" si="5"/>
        <v>0</v>
      </c>
      <c r="H63" s="456">
        <f t="shared" si="6"/>
        <v>0</v>
      </c>
      <c r="I63" s="476">
        <f t="shared" si="7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8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3"/>
        <v>0</v>
      </c>
      <c r="F64" s="486">
        <f t="shared" si="4"/>
        <v>0</v>
      </c>
      <c r="G64" s="487">
        <f t="shared" si="5"/>
        <v>0</v>
      </c>
      <c r="H64" s="456">
        <f t="shared" si="6"/>
        <v>0</v>
      </c>
      <c r="I64" s="476">
        <f t="shared" si="7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8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3"/>
        <v>0</v>
      </c>
      <c r="F65" s="486">
        <f t="shared" si="4"/>
        <v>0</v>
      </c>
      <c r="G65" s="487">
        <f t="shared" si="5"/>
        <v>0</v>
      </c>
      <c r="H65" s="456">
        <f t="shared" si="6"/>
        <v>0</v>
      </c>
      <c r="I65" s="476">
        <f t="shared" si="7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8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3"/>
        <v>0</v>
      </c>
      <c r="F66" s="486">
        <f t="shared" si="4"/>
        <v>0</v>
      </c>
      <c r="G66" s="487">
        <f t="shared" si="5"/>
        <v>0</v>
      </c>
      <c r="H66" s="456">
        <f t="shared" si="6"/>
        <v>0</v>
      </c>
      <c r="I66" s="476">
        <f t="shared" si="7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8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3"/>
        <v>0</v>
      </c>
      <c r="F67" s="486">
        <f t="shared" si="4"/>
        <v>0</v>
      </c>
      <c r="G67" s="487">
        <f t="shared" si="5"/>
        <v>0</v>
      </c>
      <c r="H67" s="456">
        <f t="shared" si="6"/>
        <v>0</v>
      </c>
      <c r="I67" s="476">
        <f t="shared" si="7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8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3"/>
        <v>0</v>
      </c>
      <c r="F68" s="486">
        <f t="shared" si="4"/>
        <v>0</v>
      </c>
      <c r="G68" s="487">
        <f t="shared" si="5"/>
        <v>0</v>
      </c>
      <c r="H68" s="456">
        <f t="shared" si="6"/>
        <v>0</v>
      </c>
      <c r="I68" s="476">
        <f t="shared" si="7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8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3"/>
        <v>0</v>
      </c>
      <c r="F69" s="486">
        <f t="shared" si="4"/>
        <v>0</v>
      </c>
      <c r="G69" s="487">
        <f t="shared" si="5"/>
        <v>0</v>
      </c>
      <c r="H69" s="456">
        <f t="shared" si="6"/>
        <v>0</v>
      </c>
      <c r="I69" s="476">
        <f t="shared" si="7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8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3"/>
        <v>0</v>
      </c>
      <c r="F70" s="486">
        <f t="shared" si="4"/>
        <v>0</v>
      </c>
      <c r="G70" s="487">
        <f t="shared" si="5"/>
        <v>0</v>
      </c>
      <c r="H70" s="456">
        <f t="shared" si="6"/>
        <v>0</v>
      </c>
      <c r="I70" s="476">
        <f t="shared" si="7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8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3"/>
        <v>0</v>
      </c>
      <c r="F71" s="486">
        <f t="shared" si="4"/>
        <v>0</v>
      </c>
      <c r="G71" s="487">
        <f t="shared" si="5"/>
        <v>0</v>
      </c>
      <c r="H71" s="456">
        <f t="shared" si="6"/>
        <v>0</v>
      </c>
      <c r="I71" s="476">
        <f t="shared" si="7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8"/>
        <v/>
      </c>
      <c r="C72" s="490">
        <f>IF(D11="","-",+C71+1)</f>
        <v>2073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1200324.0000000002</v>
      </c>
      <c r="F73" s="348"/>
      <c r="G73" s="348">
        <f>SUM(G17:G72)</f>
        <v>4765678.0870301779</v>
      </c>
      <c r="H73" s="348">
        <f>SUM(H17:H72)</f>
        <v>4765678.0870301779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23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273320.66219595348</v>
      </c>
      <c r="N87" s="509">
        <f>IF(J92&lt;D11,0,VLOOKUP(J92,C17:O72,11))</f>
        <v>273320.66219595348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146356.80823022424</v>
      </c>
      <c r="N88" s="513">
        <f>IF(J92&lt;D11,0,VLOOKUP(J92,C99:P154,7))</f>
        <v>146356.80823022424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Elk City 138KV Move Load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-126963.85396572924</v>
      </c>
      <c r="N89" s="518">
        <f>+N88-N87</f>
        <v>-126963.85396572924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TP2011110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1176180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5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28687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20674.5</v>
      </c>
      <c r="F99" s="585">
        <v>1757325.5</v>
      </c>
      <c r="G99" s="609">
        <v>878662.75</v>
      </c>
      <c r="H99" s="588">
        <v>110944.41567094853</v>
      </c>
      <c r="I99" s="608">
        <v>110944.41567094853</v>
      </c>
      <c r="J99" s="479">
        <f>+I99-H99</f>
        <v>0</v>
      </c>
      <c r="K99" s="479"/>
      <c r="L99" s="478">
        <f>+H99</f>
        <v>110944.41567094853</v>
      </c>
      <c r="M99" s="478">
        <f t="shared" ref="M99" si="9">IF(L99&lt;&gt;0,+H99-L99,0)</f>
        <v>0</v>
      </c>
      <c r="N99" s="478">
        <f>+I99</f>
        <v>110944.41567094853</v>
      </c>
      <c r="O99" s="478">
        <f t="shared" ref="O99" si="10">IF(N99&lt;&gt;0,+I99-N99,0)</f>
        <v>0</v>
      </c>
      <c r="P99" s="478">
        <f t="shared" ref="P99" si="11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347">
        <f>IF(F99+SUM(E$99:E99)=D$92,F99,D$92-SUM(E$99:E99))</f>
        <v>1155505.5</v>
      </c>
      <c r="E100" s="485">
        <f>IF(+J$96&lt;F99,J$96,D100)</f>
        <v>28687</v>
      </c>
      <c r="F100" s="486">
        <f>+D100-E100</f>
        <v>1126818.5</v>
      </c>
      <c r="G100" s="486">
        <f>+(F100+D100)/2</f>
        <v>1141162</v>
      </c>
      <c r="H100" s="614">
        <f t="shared" ref="H100:H154" si="12">+J$94*G100+E100</f>
        <v>146356.80823022424</v>
      </c>
      <c r="I100" s="615">
        <f t="shared" ref="I100:I154" si="13">+J$95*G100+E100</f>
        <v>146356.80823022424</v>
      </c>
      <c r="J100" s="479">
        <f t="shared" ref="J100:J130" si="14">+I100-H100</f>
        <v>0</v>
      </c>
      <c r="K100" s="479"/>
      <c r="L100" s="488"/>
      <c r="M100" s="479">
        <f t="shared" ref="M100:M130" si="15">IF(L100&lt;&gt;0,+H100-L100,0)</f>
        <v>0</v>
      </c>
      <c r="N100" s="488"/>
      <c r="O100" s="479">
        <f t="shared" ref="O100:O130" si="16">IF(N100&lt;&gt;0,+I100-N100,0)</f>
        <v>0</v>
      </c>
      <c r="P100" s="479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3">
        <f>IF(D93="","-",+C100+1)</f>
        <v>2020</v>
      </c>
      <c r="D101" s="347">
        <f>IF(F100+SUM(E$99:E100)=D$92,F100,D$92-SUM(E$99:E100))</f>
        <v>1126818.5</v>
      </c>
      <c r="E101" s="485">
        <f t="shared" ref="E101:E154" si="19">IF(+J$96&lt;F100,J$96,D101)</f>
        <v>28687</v>
      </c>
      <c r="F101" s="486">
        <f t="shared" ref="F101:F154" si="20">+D101-E101</f>
        <v>1098131.5</v>
      </c>
      <c r="G101" s="486">
        <f t="shared" ref="G101:G154" si="21">+(F101+D101)/2</f>
        <v>1112475</v>
      </c>
      <c r="H101" s="614">
        <f t="shared" si="12"/>
        <v>143398.77616404922</v>
      </c>
      <c r="I101" s="615">
        <f t="shared" si="13"/>
        <v>143398.77616404922</v>
      </c>
      <c r="J101" s="479">
        <f t="shared" si="14"/>
        <v>0</v>
      </c>
      <c r="K101" s="479"/>
      <c r="L101" s="488"/>
      <c r="M101" s="479">
        <f t="shared" si="15"/>
        <v>0</v>
      </c>
      <c r="N101" s="488"/>
      <c r="O101" s="479">
        <f t="shared" si="16"/>
        <v>0</v>
      </c>
      <c r="P101" s="479">
        <f t="shared" si="17"/>
        <v>0</v>
      </c>
    </row>
    <row r="102" spans="1:16" ht="12.5">
      <c r="B102" s="160" t="str">
        <f t="shared" si="18"/>
        <v/>
      </c>
      <c r="C102" s="473">
        <f>IF(D93="","-",+C101+1)</f>
        <v>2021</v>
      </c>
      <c r="D102" s="347">
        <f>IF(F101+SUM(E$99:E101)=D$92,F101,D$92-SUM(E$99:E101))</f>
        <v>1098131.5</v>
      </c>
      <c r="E102" s="485">
        <f t="shared" si="19"/>
        <v>28687</v>
      </c>
      <c r="F102" s="486">
        <f t="shared" si="20"/>
        <v>1069444.5</v>
      </c>
      <c r="G102" s="486">
        <f t="shared" si="21"/>
        <v>1083788</v>
      </c>
      <c r="H102" s="614">
        <f t="shared" si="12"/>
        <v>140440.74409787418</v>
      </c>
      <c r="I102" s="615">
        <f t="shared" si="13"/>
        <v>140440.74409787418</v>
      </c>
      <c r="J102" s="479">
        <f t="shared" si="14"/>
        <v>0</v>
      </c>
      <c r="K102" s="479"/>
      <c r="L102" s="488"/>
      <c r="M102" s="479">
        <f t="shared" si="15"/>
        <v>0</v>
      </c>
      <c r="N102" s="488"/>
      <c r="O102" s="479">
        <f t="shared" si="16"/>
        <v>0</v>
      </c>
      <c r="P102" s="479">
        <f t="shared" si="17"/>
        <v>0</v>
      </c>
    </row>
    <row r="103" spans="1:16" ht="12.5">
      <c r="B103" s="160" t="str">
        <f t="shared" si="18"/>
        <v/>
      </c>
      <c r="C103" s="473">
        <f>IF(D93="","-",+C102+1)</f>
        <v>2022</v>
      </c>
      <c r="D103" s="347">
        <f>IF(F102+SUM(E$99:E102)=D$92,F102,D$92-SUM(E$99:E102))</f>
        <v>1069444.5</v>
      </c>
      <c r="E103" s="485">
        <f t="shared" si="19"/>
        <v>28687</v>
      </c>
      <c r="F103" s="486">
        <f t="shared" si="20"/>
        <v>1040757.5</v>
      </c>
      <c r="G103" s="486">
        <f t="shared" si="21"/>
        <v>1055101</v>
      </c>
      <c r="H103" s="614">
        <f t="shared" si="12"/>
        <v>137482.71203169913</v>
      </c>
      <c r="I103" s="615">
        <f t="shared" si="13"/>
        <v>137482.71203169913</v>
      </c>
      <c r="J103" s="479">
        <f t="shared" si="14"/>
        <v>0</v>
      </c>
      <c r="K103" s="479"/>
      <c r="L103" s="488"/>
      <c r="M103" s="479">
        <f t="shared" si="15"/>
        <v>0</v>
      </c>
      <c r="N103" s="488"/>
      <c r="O103" s="479">
        <f t="shared" si="16"/>
        <v>0</v>
      </c>
      <c r="P103" s="479">
        <f t="shared" si="17"/>
        <v>0</v>
      </c>
    </row>
    <row r="104" spans="1:16" ht="12.5">
      <c r="B104" s="160" t="str">
        <f t="shared" si="18"/>
        <v/>
      </c>
      <c r="C104" s="473">
        <f>IF(D93="","-",+C103+1)</f>
        <v>2023</v>
      </c>
      <c r="D104" s="347">
        <f>IF(F103+SUM(E$99:E103)=D$92,F103,D$92-SUM(E$99:E103))</f>
        <v>1040757.5</v>
      </c>
      <c r="E104" s="485">
        <f t="shared" si="19"/>
        <v>28687</v>
      </c>
      <c r="F104" s="486">
        <f t="shared" si="20"/>
        <v>1012070.5</v>
      </c>
      <c r="G104" s="486">
        <f t="shared" si="21"/>
        <v>1026414</v>
      </c>
      <c r="H104" s="614">
        <f t="shared" si="12"/>
        <v>134524.67996552409</v>
      </c>
      <c r="I104" s="615">
        <f t="shared" si="13"/>
        <v>134524.67996552409</v>
      </c>
      <c r="J104" s="479">
        <f t="shared" si="14"/>
        <v>0</v>
      </c>
      <c r="K104" s="479"/>
      <c r="L104" s="488"/>
      <c r="M104" s="479">
        <f t="shared" si="15"/>
        <v>0</v>
      </c>
      <c r="N104" s="488"/>
      <c r="O104" s="479">
        <f t="shared" si="16"/>
        <v>0</v>
      </c>
      <c r="P104" s="479">
        <f t="shared" si="17"/>
        <v>0</v>
      </c>
    </row>
    <row r="105" spans="1:16" ht="12.5">
      <c r="B105" s="160" t="str">
        <f t="shared" si="18"/>
        <v/>
      </c>
      <c r="C105" s="473">
        <f>IF(D93="","-",+C104+1)</f>
        <v>2024</v>
      </c>
      <c r="D105" s="347">
        <f>IF(F104+SUM(E$99:E104)=D$92,F104,D$92-SUM(E$99:E104))</f>
        <v>1012070.5</v>
      </c>
      <c r="E105" s="485">
        <f t="shared" si="19"/>
        <v>28687</v>
      </c>
      <c r="F105" s="486">
        <f t="shared" si="20"/>
        <v>983383.5</v>
      </c>
      <c r="G105" s="486">
        <f t="shared" si="21"/>
        <v>997727</v>
      </c>
      <c r="H105" s="614">
        <f t="shared" si="12"/>
        <v>131566.64789934905</v>
      </c>
      <c r="I105" s="615">
        <f t="shared" si="13"/>
        <v>131566.64789934905</v>
      </c>
      <c r="J105" s="479">
        <f t="shared" si="14"/>
        <v>0</v>
      </c>
      <c r="K105" s="479"/>
      <c r="L105" s="488"/>
      <c r="M105" s="479">
        <f t="shared" si="15"/>
        <v>0</v>
      </c>
      <c r="N105" s="488"/>
      <c r="O105" s="479">
        <f t="shared" si="16"/>
        <v>0</v>
      </c>
      <c r="P105" s="479">
        <f t="shared" si="17"/>
        <v>0</v>
      </c>
    </row>
    <row r="106" spans="1:16" ht="12.5">
      <c r="B106" s="160" t="str">
        <f t="shared" si="18"/>
        <v/>
      </c>
      <c r="C106" s="473">
        <f>IF(D93="","-",+C105+1)</f>
        <v>2025</v>
      </c>
      <c r="D106" s="347">
        <f>IF(F105+SUM(E$99:E105)=D$92,F105,D$92-SUM(E$99:E105))</f>
        <v>983383.5</v>
      </c>
      <c r="E106" s="485">
        <f t="shared" si="19"/>
        <v>28687</v>
      </c>
      <c r="F106" s="486">
        <f t="shared" si="20"/>
        <v>954696.5</v>
      </c>
      <c r="G106" s="486">
        <f t="shared" si="21"/>
        <v>969040</v>
      </c>
      <c r="H106" s="614">
        <f t="shared" si="12"/>
        <v>128608.615833174</v>
      </c>
      <c r="I106" s="615">
        <f t="shared" si="13"/>
        <v>128608.615833174</v>
      </c>
      <c r="J106" s="479">
        <f t="shared" si="14"/>
        <v>0</v>
      </c>
      <c r="K106" s="479"/>
      <c r="L106" s="488"/>
      <c r="M106" s="479">
        <f t="shared" si="15"/>
        <v>0</v>
      </c>
      <c r="N106" s="488"/>
      <c r="O106" s="479">
        <f t="shared" si="16"/>
        <v>0</v>
      </c>
      <c r="P106" s="479">
        <f t="shared" si="17"/>
        <v>0</v>
      </c>
    </row>
    <row r="107" spans="1:16" ht="12.5">
      <c r="B107" s="160" t="str">
        <f t="shared" si="18"/>
        <v/>
      </c>
      <c r="C107" s="473">
        <f>IF(D93="","-",+C106+1)</f>
        <v>2026</v>
      </c>
      <c r="D107" s="347">
        <f>IF(F106+SUM(E$99:E106)=D$92,F106,D$92-SUM(E$99:E106))</f>
        <v>954696.5</v>
      </c>
      <c r="E107" s="485">
        <f t="shared" si="19"/>
        <v>28687</v>
      </c>
      <c r="F107" s="486">
        <f t="shared" si="20"/>
        <v>926009.5</v>
      </c>
      <c r="G107" s="486">
        <f t="shared" si="21"/>
        <v>940353</v>
      </c>
      <c r="H107" s="614">
        <f t="shared" si="12"/>
        <v>125650.58376699896</v>
      </c>
      <c r="I107" s="615">
        <f t="shared" si="13"/>
        <v>125650.58376699896</v>
      </c>
      <c r="J107" s="479">
        <f t="shared" si="14"/>
        <v>0</v>
      </c>
      <c r="K107" s="479"/>
      <c r="L107" s="488"/>
      <c r="M107" s="479">
        <f t="shared" si="15"/>
        <v>0</v>
      </c>
      <c r="N107" s="488"/>
      <c r="O107" s="479">
        <f t="shared" si="16"/>
        <v>0</v>
      </c>
      <c r="P107" s="479">
        <f t="shared" si="17"/>
        <v>0</v>
      </c>
    </row>
    <row r="108" spans="1:16" ht="12.5">
      <c r="B108" s="160" t="str">
        <f t="shared" si="18"/>
        <v/>
      </c>
      <c r="C108" s="473">
        <f>IF(D93="","-",+C107+1)</f>
        <v>2027</v>
      </c>
      <c r="D108" s="347">
        <f>IF(F107+SUM(E$99:E107)=D$92,F107,D$92-SUM(E$99:E107))</f>
        <v>926009.5</v>
      </c>
      <c r="E108" s="485">
        <f t="shared" si="19"/>
        <v>28687</v>
      </c>
      <c r="F108" s="486">
        <f t="shared" si="20"/>
        <v>897322.5</v>
      </c>
      <c r="G108" s="486">
        <f t="shared" si="21"/>
        <v>911666</v>
      </c>
      <c r="H108" s="614">
        <f t="shared" si="12"/>
        <v>122692.55170082393</v>
      </c>
      <c r="I108" s="615">
        <f t="shared" si="13"/>
        <v>122692.55170082393</v>
      </c>
      <c r="J108" s="479">
        <f t="shared" si="14"/>
        <v>0</v>
      </c>
      <c r="K108" s="479"/>
      <c r="L108" s="488"/>
      <c r="M108" s="479">
        <f t="shared" si="15"/>
        <v>0</v>
      </c>
      <c r="N108" s="488"/>
      <c r="O108" s="479">
        <f t="shared" si="16"/>
        <v>0</v>
      </c>
      <c r="P108" s="479">
        <f t="shared" si="17"/>
        <v>0</v>
      </c>
    </row>
    <row r="109" spans="1:16" ht="12.5">
      <c r="B109" s="160" t="str">
        <f t="shared" si="18"/>
        <v/>
      </c>
      <c r="C109" s="473">
        <f>IF(D93="","-",+C108+1)</f>
        <v>2028</v>
      </c>
      <c r="D109" s="347">
        <f>IF(F108+SUM(E$99:E108)=D$92,F108,D$92-SUM(E$99:E108))</f>
        <v>897322.5</v>
      </c>
      <c r="E109" s="485">
        <f t="shared" si="19"/>
        <v>28687</v>
      </c>
      <c r="F109" s="486">
        <f t="shared" si="20"/>
        <v>868635.5</v>
      </c>
      <c r="G109" s="486">
        <f t="shared" si="21"/>
        <v>882979</v>
      </c>
      <c r="H109" s="614">
        <f t="shared" si="12"/>
        <v>119734.51963464888</v>
      </c>
      <c r="I109" s="615">
        <f t="shared" si="13"/>
        <v>119734.51963464888</v>
      </c>
      <c r="J109" s="479">
        <f t="shared" si="14"/>
        <v>0</v>
      </c>
      <c r="K109" s="479"/>
      <c r="L109" s="488"/>
      <c r="M109" s="479">
        <f t="shared" si="15"/>
        <v>0</v>
      </c>
      <c r="N109" s="488"/>
      <c r="O109" s="479">
        <f t="shared" si="16"/>
        <v>0</v>
      </c>
      <c r="P109" s="479">
        <f t="shared" si="17"/>
        <v>0</v>
      </c>
    </row>
    <row r="110" spans="1:16" ht="12.5">
      <c r="B110" s="160" t="str">
        <f t="shared" si="18"/>
        <v/>
      </c>
      <c r="C110" s="473">
        <f>IF(D93="","-",+C109+1)</f>
        <v>2029</v>
      </c>
      <c r="D110" s="347">
        <f>IF(F109+SUM(E$99:E109)=D$92,F109,D$92-SUM(E$99:E109))</f>
        <v>868635.5</v>
      </c>
      <c r="E110" s="485">
        <f t="shared" si="19"/>
        <v>28687</v>
      </c>
      <c r="F110" s="486">
        <f t="shared" si="20"/>
        <v>839948.5</v>
      </c>
      <c r="G110" s="486">
        <f t="shared" si="21"/>
        <v>854292</v>
      </c>
      <c r="H110" s="614">
        <f t="shared" si="12"/>
        <v>116776.48756847384</v>
      </c>
      <c r="I110" s="615">
        <f t="shared" si="13"/>
        <v>116776.48756847384</v>
      </c>
      <c r="J110" s="479">
        <f t="shared" si="14"/>
        <v>0</v>
      </c>
      <c r="K110" s="479"/>
      <c r="L110" s="488"/>
      <c r="M110" s="479">
        <f t="shared" si="15"/>
        <v>0</v>
      </c>
      <c r="N110" s="488"/>
      <c r="O110" s="479">
        <f t="shared" si="16"/>
        <v>0</v>
      </c>
      <c r="P110" s="479">
        <f t="shared" si="17"/>
        <v>0</v>
      </c>
    </row>
    <row r="111" spans="1:16" ht="12.5">
      <c r="B111" s="160" t="str">
        <f t="shared" si="18"/>
        <v/>
      </c>
      <c r="C111" s="473">
        <f>IF(D93="","-",+C110+1)</f>
        <v>2030</v>
      </c>
      <c r="D111" s="347">
        <f>IF(F110+SUM(E$99:E110)=D$92,F110,D$92-SUM(E$99:E110))</f>
        <v>839948.5</v>
      </c>
      <c r="E111" s="485">
        <f t="shared" si="19"/>
        <v>28687</v>
      </c>
      <c r="F111" s="486">
        <f t="shared" si="20"/>
        <v>811261.5</v>
      </c>
      <c r="G111" s="486">
        <f t="shared" si="21"/>
        <v>825605</v>
      </c>
      <c r="H111" s="614">
        <f t="shared" si="12"/>
        <v>113818.45550229879</v>
      </c>
      <c r="I111" s="615">
        <f t="shared" si="13"/>
        <v>113818.45550229879</v>
      </c>
      <c r="J111" s="479">
        <f t="shared" si="14"/>
        <v>0</v>
      </c>
      <c r="K111" s="479"/>
      <c r="L111" s="488"/>
      <c r="M111" s="479">
        <f t="shared" si="15"/>
        <v>0</v>
      </c>
      <c r="N111" s="488"/>
      <c r="O111" s="479">
        <f t="shared" si="16"/>
        <v>0</v>
      </c>
      <c r="P111" s="479">
        <f t="shared" si="17"/>
        <v>0</v>
      </c>
    </row>
    <row r="112" spans="1:16" ht="12.5">
      <c r="B112" s="160" t="str">
        <f t="shared" si="18"/>
        <v/>
      </c>
      <c r="C112" s="473">
        <f>IF(D93="","-",+C111+1)</f>
        <v>2031</v>
      </c>
      <c r="D112" s="347">
        <f>IF(F111+SUM(E$99:E111)=D$92,F111,D$92-SUM(E$99:E111))</f>
        <v>811261.5</v>
      </c>
      <c r="E112" s="485">
        <f t="shared" si="19"/>
        <v>28687</v>
      </c>
      <c r="F112" s="486">
        <f t="shared" si="20"/>
        <v>782574.5</v>
      </c>
      <c r="G112" s="486">
        <f t="shared" si="21"/>
        <v>796918</v>
      </c>
      <c r="H112" s="614">
        <f t="shared" si="12"/>
        <v>110860.42343612375</v>
      </c>
      <c r="I112" s="615">
        <f t="shared" si="13"/>
        <v>110860.42343612375</v>
      </c>
      <c r="J112" s="479">
        <f t="shared" si="14"/>
        <v>0</v>
      </c>
      <c r="K112" s="479"/>
      <c r="L112" s="488"/>
      <c r="M112" s="479">
        <f t="shared" si="15"/>
        <v>0</v>
      </c>
      <c r="N112" s="488"/>
      <c r="O112" s="479">
        <f t="shared" si="16"/>
        <v>0</v>
      </c>
      <c r="P112" s="479">
        <f t="shared" si="17"/>
        <v>0</v>
      </c>
    </row>
    <row r="113" spans="2:16" ht="12.5">
      <c r="B113" s="160" t="str">
        <f t="shared" si="18"/>
        <v/>
      </c>
      <c r="C113" s="473">
        <f>IF(D93="","-",+C112+1)</f>
        <v>2032</v>
      </c>
      <c r="D113" s="347">
        <f>IF(F112+SUM(E$99:E112)=D$92,F112,D$92-SUM(E$99:E112))</f>
        <v>782574.5</v>
      </c>
      <c r="E113" s="485">
        <f t="shared" si="19"/>
        <v>28687</v>
      </c>
      <c r="F113" s="486">
        <f t="shared" si="20"/>
        <v>753887.5</v>
      </c>
      <c r="G113" s="486">
        <f t="shared" si="21"/>
        <v>768231</v>
      </c>
      <c r="H113" s="614">
        <f t="shared" si="12"/>
        <v>107902.39136994872</v>
      </c>
      <c r="I113" s="615">
        <f t="shared" si="13"/>
        <v>107902.39136994872</v>
      </c>
      <c r="J113" s="479">
        <f t="shared" si="14"/>
        <v>0</v>
      </c>
      <c r="K113" s="479"/>
      <c r="L113" s="488"/>
      <c r="M113" s="479">
        <f t="shared" si="15"/>
        <v>0</v>
      </c>
      <c r="N113" s="488"/>
      <c r="O113" s="479">
        <f t="shared" si="16"/>
        <v>0</v>
      </c>
      <c r="P113" s="479">
        <f t="shared" si="17"/>
        <v>0</v>
      </c>
    </row>
    <row r="114" spans="2:16" ht="12.5">
      <c r="B114" s="160" t="str">
        <f t="shared" si="18"/>
        <v/>
      </c>
      <c r="C114" s="473">
        <f>IF(D93="","-",+C113+1)</f>
        <v>2033</v>
      </c>
      <c r="D114" s="347">
        <f>IF(F113+SUM(E$99:E113)=D$92,F113,D$92-SUM(E$99:E113))</f>
        <v>753887.5</v>
      </c>
      <c r="E114" s="485">
        <f t="shared" si="19"/>
        <v>28687</v>
      </c>
      <c r="F114" s="486">
        <f t="shared" si="20"/>
        <v>725200.5</v>
      </c>
      <c r="G114" s="486">
        <f t="shared" si="21"/>
        <v>739544</v>
      </c>
      <c r="H114" s="614">
        <f t="shared" si="12"/>
        <v>104944.35930377367</v>
      </c>
      <c r="I114" s="615">
        <f t="shared" si="13"/>
        <v>104944.35930377367</v>
      </c>
      <c r="J114" s="479">
        <f t="shared" si="14"/>
        <v>0</v>
      </c>
      <c r="K114" s="479"/>
      <c r="L114" s="488"/>
      <c r="M114" s="479">
        <f t="shared" si="15"/>
        <v>0</v>
      </c>
      <c r="N114" s="488"/>
      <c r="O114" s="479">
        <f t="shared" si="16"/>
        <v>0</v>
      </c>
      <c r="P114" s="479">
        <f t="shared" si="17"/>
        <v>0</v>
      </c>
    </row>
    <row r="115" spans="2:16" ht="12.5">
      <c r="B115" s="160" t="str">
        <f t="shared" si="18"/>
        <v/>
      </c>
      <c r="C115" s="473">
        <f>IF(D93="","-",+C114+1)</f>
        <v>2034</v>
      </c>
      <c r="D115" s="347">
        <f>IF(F114+SUM(E$99:E114)=D$92,F114,D$92-SUM(E$99:E114))</f>
        <v>725200.5</v>
      </c>
      <c r="E115" s="485">
        <f t="shared" si="19"/>
        <v>28687</v>
      </c>
      <c r="F115" s="486">
        <f t="shared" si="20"/>
        <v>696513.5</v>
      </c>
      <c r="G115" s="486">
        <f t="shared" si="21"/>
        <v>710857</v>
      </c>
      <c r="H115" s="614">
        <f t="shared" si="12"/>
        <v>101986.32723759863</v>
      </c>
      <c r="I115" s="615">
        <f t="shared" si="13"/>
        <v>101986.32723759863</v>
      </c>
      <c r="J115" s="479">
        <f t="shared" si="14"/>
        <v>0</v>
      </c>
      <c r="K115" s="479"/>
      <c r="L115" s="488"/>
      <c r="M115" s="479">
        <f t="shared" si="15"/>
        <v>0</v>
      </c>
      <c r="N115" s="488"/>
      <c r="O115" s="479">
        <f t="shared" si="16"/>
        <v>0</v>
      </c>
      <c r="P115" s="479">
        <f t="shared" si="17"/>
        <v>0</v>
      </c>
    </row>
    <row r="116" spans="2:16" ht="12.5">
      <c r="B116" s="160" t="str">
        <f t="shared" si="18"/>
        <v/>
      </c>
      <c r="C116" s="473">
        <f>IF(D93="","-",+C115+1)</f>
        <v>2035</v>
      </c>
      <c r="D116" s="347">
        <f>IF(F115+SUM(E$99:E115)=D$92,F115,D$92-SUM(E$99:E115))</f>
        <v>696513.5</v>
      </c>
      <c r="E116" s="485">
        <f t="shared" si="19"/>
        <v>28687</v>
      </c>
      <c r="F116" s="486">
        <f t="shared" si="20"/>
        <v>667826.5</v>
      </c>
      <c r="G116" s="486">
        <f t="shared" si="21"/>
        <v>682170</v>
      </c>
      <c r="H116" s="614">
        <f t="shared" si="12"/>
        <v>99028.295171423582</v>
      </c>
      <c r="I116" s="615">
        <f t="shared" si="13"/>
        <v>99028.295171423582</v>
      </c>
      <c r="J116" s="479">
        <f t="shared" si="14"/>
        <v>0</v>
      </c>
      <c r="K116" s="479"/>
      <c r="L116" s="488"/>
      <c r="M116" s="479">
        <f t="shared" si="15"/>
        <v>0</v>
      </c>
      <c r="N116" s="488"/>
      <c r="O116" s="479">
        <f t="shared" si="16"/>
        <v>0</v>
      </c>
      <c r="P116" s="479">
        <f t="shared" si="17"/>
        <v>0</v>
      </c>
    </row>
    <row r="117" spans="2:16" ht="12.5">
      <c r="B117" s="160" t="str">
        <f t="shared" si="18"/>
        <v/>
      </c>
      <c r="C117" s="473">
        <f>IF(D93="","-",+C116+1)</f>
        <v>2036</v>
      </c>
      <c r="D117" s="347">
        <f>IF(F116+SUM(E$99:E116)=D$92,F116,D$92-SUM(E$99:E116))</f>
        <v>667826.5</v>
      </c>
      <c r="E117" s="485">
        <f t="shared" si="19"/>
        <v>28687</v>
      </c>
      <c r="F117" s="486">
        <f t="shared" si="20"/>
        <v>639139.5</v>
      </c>
      <c r="G117" s="486">
        <f t="shared" si="21"/>
        <v>653483</v>
      </c>
      <c r="H117" s="614">
        <f t="shared" si="12"/>
        <v>96070.263105248538</v>
      </c>
      <c r="I117" s="615">
        <f t="shared" si="13"/>
        <v>96070.263105248538</v>
      </c>
      <c r="J117" s="479">
        <f t="shared" si="14"/>
        <v>0</v>
      </c>
      <c r="K117" s="479"/>
      <c r="L117" s="488"/>
      <c r="M117" s="479">
        <f t="shared" si="15"/>
        <v>0</v>
      </c>
      <c r="N117" s="488"/>
      <c r="O117" s="479">
        <f t="shared" si="16"/>
        <v>0</v>
      </c>
      <c r="P117" s="479">
        <f t="shared" si="17"/>
        <v>0</v>
      </c>
    </row>
    <row r="118" spans="2:16" ht="12.5">
      <c r="B118" s="160" t="str">
        <f t="shared" si="18"/>
        <v/>
      </c>
      <c r="C118" s="473">
        <f>IF(D93="","-",+C117+1)</f>
        <v>2037</v>
      </c>
      <c r="D118" s="347">
        <f>IF(F117+SUM(E$99:E117)=D$92,F117,D$92-SUM(E$99:E117))</f>
        <v>639139.5</v>
      </c>
      <c r="E118" s="485">
        <f t="shared" si="19"/>
        <v>28687</v>
      </c>
      <c r="F118" s="486">
        <f t="shared" si="20"/>
        <v>610452.5</v>
      </c>
      <c r="G118" s="486">
        <f t="shared" si="21"/>
        <v>624796</v>
      </c>
      <c r="H118" s="614">
        <f t="shared" si="12"/>
        <v>93112.231039073493</v>
      </c>
      <c r="I118" s="615">
        <f t="shared" si="13"/>
        <v>93112.231039073493</v>
      </c>
      <c r="J118" s="479">
        <f t="shared" si="14"/>
        <v>0</v>
      </c>
      <c r="K118" s="479"/>
      <c r="L118" s="488"/>
      <c r="M118" s="479">
        <f t="shared" si="15"/>
        <v>0</v>
      </c>
      <c r="N118" s="488"/>
      <c r="O118" s="479">
        <f t="shared" si="16"/>
        <v>0</v>
      </c>
      <c r="P118" s="479">
        <f t="shared" si="17"/>
        <v>0</v>
      </c>
    </row>
    <row r="119" spans="2:16" ht="12.5">
      <c r="B119" s="160" t="str">
        <f t="shared" si="18"/>
        <v/>
      </c>
      <c r="C119" s="473">
        <f>IF(D93="","-",+C118+1)</f>
        <v>2038</v>
      </c>
      <c r="D119" s="347">
        <f>IF(F118+SUM(E$99:E118)=D$92,F118,D$92-SUM(E$99:E118))</f>
        <v>610452.5</v>
      </c>
      <c r="E119" s="485">
        <f t="shared" si="19"/>
        <v>28687</v>
      </c>
      <c r="F119" s="486">
        <f t="shared" si="20"/>
        <v>581765.5</v>
      </c>
      <c r="G119" s="486">
        <f t="shared" si="21"/>
        <v>596109</v>
      </c>
      <c r="H119" s="614">
        <f t="shared" si="12"/>
        <v>90154.198972898463</v>
      </c>
      <c r="I119" s="615">
        <f t="shared" si="13"/>
        <v>90154.198972898463</v>
      </c>
      <c r="J119" s="479">
        <f t="shared" si="14"/>
        <v>0</v>
      </c>
      <c r="K119" s="479"/>
      <c r="L119" s="488"/>
      <c r="M119" s="479">
        <f t="shared" si="15"/>
        <v>0</v>
      </c>
      <c r="N119" s="488"/>
      <c r="O119" s="479">
        <f t="shared" si="16"/>
        <v>0</v>
      </c>
      <c r="P119" s="479">
        <f t="shared" si="17"/>
        <v>0</v>
      </c>
    </row>
    <row r="120" spans="2:16" ht="12.5">
      <c r="B120" s="160" t="str">
        <f t="shared" si="18"/>
        <v/>
      </c>
      <c r="C120" s="473">
        <f>IF(D93="","-",+C119+1)</f>
        <v>2039</v>
      </c>
      <c r="D120" s="347">
        <f>IF(F119+SUM(E$99:E119)=D$92,F119,D$92-SUM(E$99:E119))</f>
        <v>581765.5</v>
      </c>
      <c r="E120" s="485">
        <f t="shared" si="19"/>
        <v>28687</v>
      </c>
      <c r="F120" s="486">
        <f t="shared" si="20"/>
        <v>553078.5</v>
      </c>
      <c r="G120" s="486">
        <f t="shared" si="21"/>
        <v>567422</v>
      </c>
      <c r="H120" s="614">
        <f t="shared" si="12"/>
        <v>87196.166906723418</v>
      </c>
      <c r="I120" s="615">
        <f t="shared" si="13"/>
        <v>87196.166906723418</v>
      </c>
      <c r="J120" s="479">
        <f t="shared" si="14"/>
        <v>0</v>
      </c>
      <c r="K120" s="479"/>
      <c r="L120" s="488"/>
      <c r="M120" s="479">
        <f t="shared" si="15"/>
        <v>0</v>
      </c>
      <c r="N120" s="488"/>
      <c r="O120" s="479">
        <f t="shared" si="16"/>
        <v>0</v>
      </c>
      <c r="P120" s="479">
        <f t="shared" si="17"/>
        <v>0</v>
      </c>
    </row>
    <row r="121" spans="2:16" ht="12.5">
      <c r="B121" s="160" t="str">
        <f t="shared" si="18"/>
        <v/>
      </c>
      <c r="C121" s="473">
        <f>IF(D93="","-",+C120+1)</f>
        <v>2040</v>
      </c>
      <c r="D121" s="347">
        <f>IF(F120+SUM(E$99:E120)=D$92,F120,D$92-SUM(E$99:E120))</f>
        <v>553078.5</v>
      </c>
      <c r="E121" s="485">
        <f t="shared" si="19"/>
        <v>28687</v>
      </c>
      <c r="F121" s="486">
        <f t="shared" si="20"/>
        <v>524391.5</v>
      </c>
      <c r="G121" s="486">
        <f t="shared" si="21"/>
        <v>538735</v>
      </c>
      <c r="H121" s="614">
        <f t="shared" si="12"/>
        <v>84238.134840548373</v>
      </c>
      <c r="I121" s="615">
        <f t="shared" si="13"/>
        <v>84238.134840548373</v>
      </c>
      <c r="J121" s="479">
        <f t="shared" si="14"/>
        <v>0</v>
      </c>
      <c r="K121" s="479"/>
      <c r="L121" s="488"/>
      <c r="M121" s="479">
        <f t="shared" si="15"/>
        <v>0</v>
      </c>
      <c r="N121" s="488"/>
      <c r="O121" s="479">
        <f t="shared" si="16"/>
        <v>0</v>
      </c>
      <c r="P121" s="479">
        <f t="shared" si="17"/>
        <v>0</v>
      </c>
    </row>
    <row r="122" spans="2:16" ht="12.5">
      <c r="B122" s="160" t="str">
        <f t="shared" si="18"/>
        <v/>
      </c>
      <c r="C122" s="473">
        <f>IF(D93="","-",+C121+1)</f>
        <v>2041</v>
      </c>
      <c r="D122" s="347">
        <f>IF(F121+SUM(E$99:E121)=D$92,F121,D$92-SUM(E$99:E121))</f>
        <v>524391.5</v>
      </c>
      <c r="E122" s="485">
        <f t="shared" si="19"/>
        <v>28687</v>
      </c>
      <c r="F122" s="486">
        <f t="shared" si="20"/>
        <v>495704.5</v>
      </c>
      <c r="G122" s="486">
        <f t="shared" si="21"/>
        <v>510048</v>
      </c>
      <c r="H122" s="614">
        <f t="shared" si="12"/>
        <v>81280.102774373343</v>
      </c>
      <c r="I122" s="615">
        <f t="shared" si="13"/>
        <v>81280.102774373343</v>
      </c>
      <c r="J122" s="479">
        <f t="shared" si="14"/>
        <v>0</v>
      </c>
      <c r="K122" s="479"/>
      <c r="L122" s="488"/>
      <c r="M122" s="479">
        <f t="shared" si="15"/>
        <v>0</v>
      </c>
      <c r="N122" s="488"/>
      <c r="O122" s="479">
        <f t="shared" si="16"/>
        <v>0</v>
      </c>
      <c r="P122" s="479">
        <f t="shared" si="17"/>
        <v>0</v>
      </c>
    </row>
    <row r="123" spans="2:16" ht="12.5">
      <c r="B123" s="160" t="str">
        <f t="shared" si="18"/>
        <v/>
      </c>
      <c r="C123" s="473">
        <f>IF(D93="","-",+C122+1)</f>
        <v>2042</v>
      </c>
      <c r="D123" s="347">
        <f>IF(F122+SUM(E$99:E122)=D$92,F122,D$92-SUM(E$99:E122))</f>
        <v>495704.5</v>
      </c>
      <c r="E123" s="485">
        <f t="shared" si="19"/>
        <v>28687</v>
      </c>
      <c r="F123" s="486">
        <f t="shared" si="20"/>
        <v>467017.5</v>
      </c>
      <c r="G123" s="486">
        <f t="shared" si="21"/>
        <v>481361</v>
      </c>
      <c r="H123" s="614">
        <f t="shared" si="12"/>
        <v>78322.070708198298</v>
      </c>
      <c r="I123" s="615">
        <f t="shared" si="13"/>
        <v>78322.070708198298</v>
      </c>
      <c r="J123" s="479">
        <f t="shared" si="14"/>
        <v>0</v>
      </c>
      <c r="K123" s="479"/>
      <c r="L123" s="488"/>
      <c r="M123" s="479">
        <f t="shared" si="15"/>
        <v>0</v>
      </c>
      <c r="N123" s="488"/>
      <c r="O123" s="479">
        <f t="shared" si="16"/>
        <v>0</v>
      </c>
      <c r="P123" s="479">
        <f t="shared" si="17"/>
        <v>0</v>
      </c>
    </row>
    <row r="124" spans="2:16" ht="12.5">
      <c r="B124" s="160" t="str">
        <f t="shared" si="18"/>
        <v/>
      </c>
      <c r="C124" s="473">
        <f>IF(D93="","-",+C123+1)</f>
        <v>2043</v>
      </c>
      <c r="D124" s="347">
        <f>IF(F123+SUM(E$99:E123)=D$92,F123,D$92-SUM(E$99:E123))</f>
        <v>467017.5</v>
      </c>
      <c r="E124" s="485">
        <f t="shared" si="19"/>
        <v>28687</v>
      </c>
      <c r="F124" s="486">
        <f t="shared" si="20"/>
        <v>438330.5</v>
      </c>
      <c r="G124" s="486">
        <f t="shared" si="21"/>
        <v>452674</v>
      </c>
      <c r="H124" s="614">
        <f t="shared" si="12"/>
        <v>75364.038642023253</v>
      </c>
      <c r="I124" s="615">
        <f t="shared" si="13"/>
        <v>75364.038642023253</v>
      </c>
      <c r="J124" s="479">
        <f t="shared" si="14"/>
        <v>0</v>
      </c>
      <c r="K124" s="479"/>
      <c r="L124" s="488"/>
      <c r="M124" s="479">
        <f t="shared" si="15"/>
        <v>0</v>
      </c>
      <c r="N124" s="488"/>
      <c r="O124" s="479">
        <f t="shared" si="16"/>
        <v>0</v>
      </c>
      <c r="P124" s="479">
        <f t="shared" si="17"/>
        <v>0</v>
      </c>
    </row>
    <row r="125" spans="2:16" ht="12.5">
      <c r="B125" s="160" t="str">
        <f t="shared" si="18"/>
        <v/>
      </c>
      <c r="C125" s="473">
        <f>IF(D93="","-",+C124+1)</f>
        <v>2044</v>
      </c>
      <c r="D125" s="347">
        <f>IF(F124+SUM(E$99:E124)=D$92,F124,D$92-SUM(E$99:E124))</f>
        <v>438330.5</v>
      </c>
      <c r="E125" s="485">
        <f t="shared" si="19"/>
        <v>28687</v>
      </c>
      <c r="F125" s="486">
        <f t="shared" si="20"/>
        <v>409643.5</v>
      </c>
      <c r="G125" s="486">
        <f t="shared" si="21"/>
        <v>423987</v>
      </c>
      <c r="H125" s="614">
        <f t="shared" si="12"/>
        <v>72406.006575848209</v>
      </c>
      <c r="I125" s="615">
        <f t="shared" si="13"/>
        <v>72406.006575848209</v>
      </c>
      <c r="J125" s="479">
        <f t="shared" si="14"/>
        <v>0</v>
      </c>
      <c r="K125" s="479"/>
      <c r="L125" s="488"/>
      <c r="M125" s="479">
        <f t="shared" si="15"/>
        <v>0</v>
      </c>
      <c r="N125" s="488"/>
      <c r="O125" s="479">
        <f t="shared" si="16"/>
        <v>0</v>
      </c>
      <c r="P125" s="479">
        <f t="shared" si="17"/>
        <v>0</v>
      </c>
    </row>
    <row r="126" spans="2:16" ht="12.5">
      <c r="B126" s="160" t="str">
        <f t="shared" si="18"/>
        <v/>
      </c>
      <c r="C126" s="473">
        <f>IF(D93="","-",+C125+1)</f>
        <v>2045</v>
      </c>
      <c r="D126" s="347">
        <f>IF(F125+SUM(E$99:E125)=D$92,F125,D$92-SUM(E$99:E125))</f>
        <v>409643.5</v>
      </c>
      <c r="E126" s="485">
        <f t="shared" si="19"/>
        <v>28687</v>
      </c>
      <c r="F126" s="486">
        <f t="shared" si="20"/>
        <v>380956.5</v>
      </c>
      <c r="G126" s="486">
        <f t="shared" si="21"/>
        <v>395300</v>
      </c>
      <c r="H126" s="614">
        <f t="shared" si="12"/>
        <v>69447.974509673164</v>
      </c>
      <c r="I126" s="615">
        <f t="shared" si="13"/>
        <v>69447.974509673164</v>
      </c>
      <c r="J126" s="479">
        <f t="shared" si="14"/>
        <v>0</v>
      </c>
      <c r="K126" s="479"/>
      <c r="L126" s="488"/>
      <c r="M126" s="479">
        <f t="shared" si="15"/>
        <v>0</v>
      </c>
      <c r="N126" s="488"/>
      <c r="O126" s="479">
        <f t="shared" si="16"/>
        <v>0</v>
      </c>
      <c r="P126" s="479">
        <f t="shared" si="17"/>
        <v>0</v>
      </c>
    </row>
    <row r="127" spans="2:16" ht="12.5">
      <c r="B127" s="160" t="str">
        <f t="shared" si="18"/>
        <v/>
      </c>
      <c r="C127" s="473">
        <f>IF(D93="","-",+C126+1)</f>
        <v>2046</v>
      </c>
      <c r="D127" s="347">
        <f>IF(F126+SUM(E$99:E126)=D$92,F126,D$92-SUM(E$99:E126))</f>
        <v>380956.5</v>
      </c>
      <c r="E127" s="485">
        <f t="shared" si="19"/>
        <v>28687</v>
      </c>
      <c r="F127" s="486">
        <f t="shared" si="20"/>
        <v>352269.5</v>
      </c>
      <c r="G127" s="486">
        <f t="shared" si="21"/>
        <v>366613</v>
      </c>
      <c r="H127" s="614">
        <f t="shared" si="12"/>
        <v>66489.942443498119</v>
      </c>
      <c r="I127" s="615">
        <f t="shared" si="13"/>
        <v>66489.942443498119</v>
      </c>
      <c r="J127" s="479">
        <f t="shared" si="14"/>
        <v>0</v>
      </c>
      <c r="K127" s="479"/>
      <c r="L127" s="488"/>
      <c r="M127" s="479">
        <f t="shared" si="15"/>
        <v>0</v>
      </c>
      <c r="N127" s="488"/>
      <c r="O127" s="479">
        <f t="shared" si="16"/>
        <v>0</v>
      </c>
      <c r="P127" s="479">
        <f t="shared" si="17"/>
        <v>0</v>
      </c>
    </row>
    <row r="128" spans="2:16" ht="12.5">
      <c r="B128" s="160" t="str">
        <f t="shared" si="18"/>
        <v/>
      </c>
      <c r="C128" s="473">
        <f>IF(D93="","-",+C127+1)</f>
        <v>2047</v>
      </c>
      <c r="D128" s="347">
        <f>IF(F127+SUM(E$99:E127)=D$92,F127,D$92-SUM(E$99:E127))</f>
        <v>352269.5</v>
      </c>
      <c r="E128" s="485">
        <f t="shared" si="19"/>
        <v>28687</v>
      </c>
      <c r="F128" s="486">
        <f t="shared" si="20"/>
        <v>323582.5</v>
      </c>
      <c r="G128" s="486">
        <f t="shared" si="21"/>
        <v>337926</v>
      </c>
      <c r="H128" s="614">
        <f t="shared" si="12"/>
        <v>63531.910377323082</v>
      </c>
      <c r="I128" s="615">
        <f t="shared" si="13"/>
        <v>63531.910377323082</v>
      </c>
      <c r="J128" s="479">
        <f t="shared" si="14"/>
        <v>0</v>
      </c>
      <c r="K128" s="479"/>
      <c r="L128" s="488"/>
      <c r="M128" s="479">
        <f t="shared" si="15"/>
        <v>0</v>
      </c>
      <c r="N128" s="488"/>
      <c r="O128" s="479">
        <f t="shared" si="16"/>
        <v>0</v>
      </c>
      <c r="P128" s="479">
        <f t="shared" si="17"/>
        <v>0</v>
      </c>
    </row>
    <row r="129" spans="2:16" ht="12.5">
      <c r="B129" s="160" t="str">
        <f t="shared" si="18"/>
        <v/>
      </c>
      <c r="C129" s="473">
        <f>IF(D93="","-",+C128+1)</f>
        <v>2048</v>
      </c>
      <c r="D129" s="347">
        <f>IF(F128+SUM(E$99:E128)=D$92,F128,D$92-SUM(E$99:E128))</f>
        <v>323582.5</v>
      </c>
      <c r="E129" s="485">
        <f t="shared" si="19"/>
        <v>28687</v>
      </c>
      <c r="F129" s="486">
        <f t="shared" si="20"/>
        <v>294895.5</v>
      </c>
      <c r="G129" s="486">
        <f t="shared" si="21"/>
        <v>309239</v>
      </c>
      <c r="H129" s="614">
        <f t="shared" si="12"/>
        <v>60573.878311148044</v>
      </c>
      <c r="I129" s="615">
        <f t="shared" si="13"/>
        <v>60573.878311148044</v>
      </c>
      <c r="J129" s="479">
        <f t="shared" si="14"/>
        <v>0</v>
      </c>
      <c r="K129" s="479"/>
      <c r="L129" s="488"/>
      <c r="M129" s="479">
        <f t="shared" si="15"/>
        <v>0</v>
      </c>
      <c r="N129" s="488"/>
      <c r="O129" s="479">
        <f t="shared" si="16"/>
        <v>0</v>
      </c>
      <c r="P129" s="479">
        <f t="shared" si="17"/>
        <v>0</v>
      </c>
    </row>
    <row r="130" spans="2:16" ht="12.5">
      <c r="B130" s="160" t="str">
        <f t="shared" si="18"/>
        <v/>
      </c>
      <c r="C130" s="473">
        <f>IF(D93="","-",+C129+1)</f>
        <v>2049</v>
      </c>
      <c r="D130" s="347">
        <f>IF(F129+SUM(E$99:E129)=D$92,F129,D$92-SUM(E$99:E129))</f>
        <v>294895.5</v>
      </c>
      <c r="E130" s="485">
        <f t="shared" si="19"/>
        <v>28687</v>
      </c>
      <c r="F130" s="486">
        <f t="shared" si="20"/>
        <v>266208.5</v>
      </c>
      <c r="G130" s="486">
        <f t="shared" si="21"/>
        <v>280552</v>
      </c>
      <c r="H130" s="614">
        <f t="shared" si="12"/>
        <v>57615.846244973</v>
      </c>
      <c r="I130" s="615">
        <f t="shared" si="13"/>
        <v>57615.846244973</v>
      </c>
      <c r="J130" s="479">
        <f t="shared" si="14"/>
        <v>0</v>
      </c>
      <c r="K130" s="479"/>
      <c r="L130" s="488"/>
      <c r="M130" s="479">
        <f t="shared" si="15"/>
        <v>0</v>
      </c>
      <c r="N130" s="488"/>
      <c r="O130" s="479">
        <f t="shared" si="16"/>
        <v>0</v>
      </c>
      <c r="P130" s="479">
        <f t="shared" si="17"/>
        <v>0</v>
      </c>
    </row>
    <row r="131" spans="2:16" ht="12.5">
      <c r="B131" s="160" t="str">
        <f t="shared" si="18"/>
        <v/>
      </c>
      <c r="C131" s="473">
        <f>IF(D93="","-",+C130+1)</f>
        <v>2050</v>
      </c>
      <c r="D131" s="347">
        <f>IF(F130+SUM(E$99:E130)=D$92,F130,D$92-SUM(E$99:E130))</f>
        <v>266208.5</v>
      </c>
      <c r="E131" s="485">
        <f t="shared" si="19"/>
        <v>28687</v>
      </c>
      <c r="F131" s="486">
        <f t="shared" si="20"/>
        <v>237521.5</v>
      </c>
      <c r="G131" s="486">
        <f t="shared" si="21"/>
        <v>251865</v>
      </c>
      <c r="H131" s="614">
        <f t="shared" si="12"/>
        <v>54657.814178797955</v>
      </c>
      <c r="I131" s="615">
        <f t="shared" si="13"/>
        <v>54657.814178797955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8"/>
        <v/>
      </c>
      <c r="C132" s="473">
        <f>IF(D93="","-",+C131+1)</f>
        <v>2051</v>
      </c>
      <c r="D132" s="347">
        <f>IF(F131+SUM(E$99:E131)=D$92,F131,D$92-SUM(E$99:E131))</f>
        <v>237521.5</v>
      </c>
      <c r="E132" s="485">
        <f t="shared" si="19"/>
        <v>28687</v>
      </c>
      <c r="F132" s="486">
        <f t="shared" si="20"/>
        <v>208834.5</v>
      </c>
      <c r="G132" s="486">
        <f t="shared" si="21"/>
        <v>223178</v>
      </c>
      <c r="H132" s="614">
        <f t="shared" si="12"/>
        <v>51699.78211262291</v>
      </c>
      <c r="I132" s="615">
        <f t="shared" si="13"/>
        <v>51699.78211262291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8"/>
        <v/>
      </c>
      <c r="C133" s="473">
        <f>IF(D93="","-",+C132+1)</f>
        <v>2052</v>
      </c>
      <c r="D133" s="347">
        <f>IF(F132+SUM(E$99:E132)=D$92,F132,D$92-SUM(E$99:E132))</f>
        <v>208834.5</v>
      </c>
      <c r="E133" s="485">
        <f t="shared" si="19"/>
        <v>28687</v>
      </c>
      <c r="F133" s="486">
        <f t="shared" si="20"/>
        <v>180147.5</v>
      </c>
      <c r="G133" s="486">
        <f t="shared" si="21"/>
        <v>194491</v>
      </c>
      <c r="H133" s="614">
        <f t="shared" si="12"/>
        <v>48741.750046447873</v>
      </c>
      <c r="I133" s="615">
        <f t="shared" si="13"/>
        <v>48741.750046447873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8"/>
        <v/>
      </c>
      <c r="C134" s="473">
        <f>IF(D93="","-",+C133+1)</f>
        <v>2053</v>
      </c>
      <c r="D134" s="347">
        <f>IF(F133+SUM(E$99:E133)=D$92,F133,D$92-SUM(E$99:E133))</f>
        <v>180147.5</v>
      </c>
      <c r="E134" s="485">
        <f t="shared" si="19"/>
        <v>28687</v>
      </c>
      <c r="F134" s="486">
        <f t="shared" si="20"/>
        <v>151460.5</v>
      </c>
      <c r="G134" s="486">
        <f t="shared" si="21"/>
        <v>165804</v>
      </c>
      <c r="H134" s="614">
        <f t="shared" si="12"/>
        <v>45783.717980272828</v>
      </c>
      <c r="I134" s="615">
        <f t="shared" si="13"/>
        <v>45783.717980272828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8"/>
        <v/>
      </c>
      <c r="C135" s="473">
        <f>IF(D93="","-",+C134+1)</f>
        <v>2054</v>
      </c>
      <c r="D135" s="347">
        <f>IF(F134+SUM(E$99:E134)=D$92,F134,D$92-SUM(E$99:E134))</f>
        <v>151460.5</v>
      </c>
      <c r="E135" s="485">
        <f t="shared" si="19"/>
        <v>28687</v>
      </c>
      <c r="F135" s="486">
        <f t="shared" si="20"/>
        <v>122773.5</v>
      </c>
      <c r="G135" s="486">
        <f t="shared" si="21"/>
        <v>137117</v>
      </c>
      <c r="H135" s="614">
        <f t="shared" si="12"/>
        <v>42825.68591409779</v>
      </c>
      <c r="I135" s="615">
        <f t="shared" si="13"/>
        <v>42825.68591409779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8"/>
        <v/>
      </c>
      <c r="C136" s="473">
        <f>IF(D93="","-",+C135+1)</f>
        <v>2055</v>
      </c>
      <c r="D136" s="347">
        <f>IF(F135+SUM(E$99:E135)=D$92,F135,D$92-SUM(E$99:E135))</f>
        <v>122773.5</v>
      </c>
      <c r="E136" s="485">
        <f t="shared" si="19"/>
        <v>28687</v>
      </c>
      <c r="F136" s="486">
        <f t="shared" si="20"/>
        <v>94086.5</v>
      </c>
      <c r="G136" s="486">
        <f t="shared" si="21"/>
        <v>108430</v>
      </c>
      <c r="H136" s="614">
        <f t="shared" si="12"/>
        <v>39867.653847922746</v>
      </c>
      <c r="I136" s="615">
        <f t="shared" si="13"/>
        <v>39867.653847922746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8"/>
        <v/>
      </c>
      <c r="C137" s="473">
        <f>IF(D93="","-",+C136+1)</f>
        <v>2056</v>
      </c>
      <c r="D137" s="347">
        <f>IF(F136+SUM(E$99:E136)=D$92,F136,D$92-SUM(E$99:E136))</f>
        <v>94086.5</v>
      </c>
      <c r="E137" s="485">
        <f t="shared" si="19"/>
        <v>28687</v>
      </c>
      <c r="F137" s="486">
        <f t="shared" si="20"/>
        <v>65399.5</v>
      </c>
      <c r="G137" s="486">
        <f t="shared" si="21"/>
        <v>79743</v>
      </c>
      <c r="H137" s="614">
        <f t="shared" si="12"/>
        <v>36909.621781747701</v>
      </c>
      <c r="I137" s="615">
        <f t="shared" si="13"/>
        <v>36909.621781747701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8"/>
        <v/>
      </c>
      <c r="C138" s="473">
        <f>IF(D93="","-",+C137+1)</f>
        <v>2057</v>
      </c>
      <c r="D138" s="347">
        <f>IF(F137+SUM(E$99:E137)=D$92,F137,D$92-SUM(E$99:E137))</f>
        <v>65399.5</v>
      </c>
      <c r="E138" s="485">
        <f t="shared" si="19"/>
        <v>28687</v>
      </c>
      <c r="F138" s="486">
        <f t="shared" si="20"/>
        <v>36712.5</v>
      </c>
      <c r="G138" s="486">
        <f t="shared" si="21"/>
        <v>51056</v>
      </c>
      <c r="H138" s="614">
        <f t="shared" si="12"/>
        <v>33951.589715572663</v>
      </c>
      <c r="I138" s="615">
        <f t="shared" si="13"/>
        <v>33951.589715572663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8"/>
        <v/>
      </c>
      <c r="C139" s="473">
        <f>IF(D93="","-",+C138+1)</f>
        <v>2058</v>
      </c>
      <c r="D139" s="347">
        <f>IF(F138+SUM(E$99:E138)=D$92,F138,D$92-SUM(E$99:E138))</f>
        <v>36712.5</v>
      </c>
      <c r="E139" s="485">
        <f t="shared" si="19"/>
        <v>28687</v>
      </c>
      <c r="F139" s="486">
        <f t="shared" si="20"/>
        <v>8025.5</v>
      </c>
      <c r="G139" s="486">
        <f t="shared" si="21"/>
        <v>22369</v>
      </c>
      <c r="H139" s="614">
        <f t="shared" si="12"/>
        <v>30993.557649397619</v>
      </c>
      <c r="I139" s="615">
        <f t="shared" si="13"/>
        <v>30993.557649397619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8"/>
        <v/>
      </c>
      <c r="C140" s="473">
        <f>IF(D93="","-",+C139+1)</f>
        <v>2059</v>
      </c>
      <c r="D140" s="347">
        <f>IF(F139+SUM(E$99:E139)=D$92,F139,D$92-SUM(E$99:E139))</f>
        <v>8025.5</v>
      </c>
      <c r="E140" s="485">
        <f t="shared" si="19"/>
        <v>8025.5</v>
      </c>
      <c r="F140" s="486">
        <f t="shared" si="20"/>
        <v>0</v>
      </c>
      <c r="G140" s="486">
        <f t="shared" si="21"/>
        <v>4012.75</v>
      </c>
      <c r="H140" s="614">
        <f t="shared" si="12"/>
        <v>8439.27080815505</v>
      </c>
      <c r="I140" s="615">
        <f t="shared" si="13"/>
        <v>8439.27080815505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8"/>
        <v/>
      </c>
      <c r="C141" s="473">
        <f>IF(D93="","-",+C140+1)</f>
        <v>2060</v>
      </c>
      <c r="D141" s="347">
        <f>IF(F140+SUM(E$99:E140)=D$92,F140,D$92-SUM(E$99:E140))</f>
        <v>0</v>
      </c>
      <c r="E141" s="485">
        <f t="shared" si="19"/>
        <v>0</v>
      </c>
      <c r="F141" s="486">
        <f t="shared" si="20"/>
        <v>0</v>
      </c>
      <c r="G141" s="486">
        <f t="shared" si="21"/>
        <v>0</v>
      </c>
      <c r="H141" s="614">
        <f t="shared" si="12"/>
        <v>0</v>
      </c>
      <c r="I141" s="615">
        <f t="shared" si="13"/>
        <v>0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8"/>
        <v/>
      </c>
      <c r="C142" s="473">
        <f>IF(D93="","-",+C141+1)</f>
        <v>2061</v>
      </c>
      <c r="D142" s="347">
        <f>IF(F141+SUM(E$99:E141)=D$92,F141,D$92-SUM(E$99:E141))</f>
        <v>0</v>
      </c>
      <c r="E142" s="485">
        <f t="shared" si="19"/>
        <v>0</v>
      </c>
      <c r="F142" s="486">
        <f t="shared" si="20"/>
        <v>0</v>
      </c>
      <c r="G142" s="486">
        <f t="shared" si="21"/>
        <v>0</v>
      </c>
      <c r="H142" s="614">
        <f t="shared" si="12"/>
        <v>0</v>
      </c>
      <c r="I142" s="615">
        <f t="shared" si="13"/>
        <v>0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8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9"/>
        <v>0</v>
      </c>
      <c r="F143" s="486">
        <f t="shared" si="20"/>
        <v>0</v>
      </c>
      <c r="G143" s="486">
        <f t="shared" si="21"/>
        <v>0</v>
      </c>
      <c r="H143" s="614">
        <f t="shared" si="12"/>
        <v>0</v>
      </c>
      <c r="I143" s="615">
        <f t="shared" si="13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8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9"/>
        <v>0</v>
      </c>
      <c r="F144" s="486">
        <f t="shared" si="20"/>
        <v>0</v>
      </c>
      <c r="G144" s="486">
        <f t="shared" si="21"/>
        <v>0</v>
      </c>
      <c r="H144" s="614">
        <f t="shared" si="12"/>
        <v>0</v>
      </c>
      <c r="I144" s="615">
        <f t="shared" si="13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8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9"/>
        <v>0</v>
      </c>
      <c r="F145" s="486">
        <f t="shared" si="20"/>
        <v>0</v>
      </c>
      <c r="G145" s="486">
        <f t="shared" si="21"/>
        <v>0</v>
      </c>
      <c r="H145" s="614">
        <f t="shared" si="12"/>
        <v>0</v>
      </c>
      <c r="I145" s="615">
        <f t="shared" si="13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8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9"/>
        <v>0</v>
      </c>
      <c r="F146" s="486">
        <f t="shared" si="20"/>
        <v>0</v>
      </c>
      <c r="G146" s="486">
        <f t="shared" si="21"/>
        <v>0</v>
      </c>
      <c r="H146" s="614">
        <f t="shared" si="12"/>
        <v>0</v>
      </c>
      <c r="I146" s="615">
        <f t="shared" si="13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8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9"/>
        <v>0</v>
      </c>
      <c r="F147" s="486">
        <f t="shared" si="20"/>
        <v>0</v>
      </c>
      <c r="G147" s="486">
        <f t="shared" si="21"/>
        <v>0</v>
      </c>
      <c r="H147" s="614">
        <f t="shared" si="12"/>
        <v>0</v>
      </c>
      <c r="I147" s="615">
        <f t="shared" si="13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8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9"/>
        <v>0</v>
      </c>
      <c r="F148" s="486">
        <f t="shared" si="20"/>
        <v>0</v>
      </c>
      <c r="G148" s="486">
        <f t="shared" si="21"/>
        <v>0</v>
      </c>
      <c r="H148" s="614">
        <f t="shared" si="12"/>
        <v>0</v>
      </c>
      <c r="I148" s="615">
        <f t="shared" si="13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8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9"/>
        <v>0</v>
      </c>
      <c r="F149" s="486">
        <f t="shared" si="20"/>
        <v>0</v>
      </c>
      <c r="G149" s="486">
        <f t="shared" si="21"/>
        <v>0</v>
      </c>
      <c r="H149" s="614">
        <f t="shared" si="12"/>
        <v>0</v>
      </c>
      <c r="I149" s="615">
        <f t="shared" si="13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8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9"/>
        <v>0</v>
      </c>
      <c r="F150" s="486">
        <f t="shared" si="20"/>
        <v>0</v>
      </c>
      <c r="G150" s="486">
        <f t="shared" si="21"/>
        <v>0</v>
      </c>
      <c r="H150" s="614">
        <f t="shared" si="12"/>
        <v>0</v>
      </c>
      <c r="I150" s="615">
        <f t="shared" si="13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8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9"/>
        <v>0</v>
      </c>
      <c r="F151" s="486">
        <f t="shared" si="20"/>
        <v>0</v>
      </c>
      <c r="G151" s="486">
        <f t="shared" si="21"/>
        <v>0</v>
      </c>
      <c r="H151" s="614">
        <f t="shared" si="12"/>
        <v>0</v>
      </c>
      <c r="I151" s="615">
        <f t="shared" si="13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8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9"/>
        <v>0</v>
      </c>
      <c r="F152" s="486">
        <f t="shared" si="20"/>
        <v>0</v>
      </c>
      <c r="G152" s="486">
        <f t="shared" si="21"/>
        <v>0</v>
      </c>
      <c r="H152" s="614">
        <f t="shared" si="12"/>
        <v>0</v>
      </c>
      <c r="I152" s="615">
        <f t="shared" si="13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8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9"/>
        <v>0</v>
      </c>
      <c r="F153" s="486">
        <f t="shared" si="20"/>
        <v>0</v>
      </c>
      <c r="G153" s="486">
        <f t="shared" si="21"/>
        <v>0</v>
      </c>
      <c r="H153" s="614">
        <f t="shared" si="12"/>
        <v>0</v>
      </c>
      <c r="I153" s="615">
        <f t="shared" si="13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8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9"/>
        <v>0</v>
      </c>
      <c r="F154" s="491">
        <f t="shared" si="20"/>
        <v>0</v>
      </c>
      <c r="G154" s="491">
        <f t="shared" si="21"/>
        <v>0</v>
      </c>
      <c r="H154" s="616">
        <f t="shared" si="12"/>
        <v>0</v>
      </c>
      <c r="I154" s="617">
        <f t="shared" si="13"/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1176180</v>
      </c>
      <c r="F155" s="348"/>
      <c r="G155" s="348"/>
      <c r="H155" s="348">
        <f>SUM(H99:H154)</f>
        <v>3666391.0040715407</v>
      </c>
      <c r="I155" s="348">
        <f>SUM(I99:I154)</f>
        <v>3666391.0040715407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topLeftCell="E1" zoomScale="80" zoomScaleNormal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24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162968.67771034624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162968.67771034624</v>
      </c>
      <c r="O6" s="233"/>
      <c r="P6" s="233"/>
    </row>
    <row r="7" spans="1:16" ht="13.5" thickBot="1">
      <c r="C7" s="432" t="s">
        <v>46</v>
      </c>
      <c r="D7" s="600" t="s">
        <v>307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308</v>
      </c>
      <c r="E9" s="578" t="s">
        <v>309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1344939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29887.533333333333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13511.111111111109</v>
      </c>
      <c r="F17" s="585">
        <v>1202488.888888889</v>
      </c>
      <c r="G17" s="609">
        <v>85515.508884209848</v>
      </c>
      <c r="H17" s="588">
        <v>85515.508884209848</v>
      </c>
      <c r="I17" s="476">
        <f>H17-G17</f>
        <v>0</v>
      </c>
      <c r="J17" s="476"/>
      <c r="K17" s="555">
        <f>+G17</f>
        <v>85515.508884209848</v>
      </c>
      <c r="L17" s="478">
        <f t="shared" ref="L17:L72" si="0">IF(K17&lt;&gt;0,+G17-K17,0)</f>
        <v>0</v>
      </c>
      <c r="M17" s="555">
        <f>+H17</f>
        <v>85515.508884209848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2019</v>
      </c>
      <c r="D18" s="585">
        <v>1202488.888888889</v>
      </c>
      <c r="E18" s="586">
        <v>30400</v>
      </c>
      <c r="F18" s="585">
        <v>1172088.888888889</v>
      </c>
      <c r="G18" s="586">
        <v>162968.67771034624</v>
      </c>
      <c r="H18" s="588">
        <v>162968.67771034624</v>
      </c>
      <c r="I18" s="476">
        <f>H18-G18</f>
        <v>0</v>
      </c>
      <c r="J18" s="476"/>
      <c r="K18" s="479">
        <f>+G18</f>
        <v>162968.67771034624</v>
      </c>
      <c r="L18" s="479">
        <f t="shared" si="0"/>
        <v>0</v>
      </c>
      <c r="M18" s="479">
        <f>+H18</f>
        <v>162968.67771034624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2020</v>
      </c>
      <c r="D19" s="484">
        <f>IF(F18+SUM(E$17:E18)=D$10,F18,D$10-SUM(E$17:E18))</f>
        <v>1301027.888888889</v>
      </c>
      <c r="E19" s="485">
        <f t="shared" ref="E19:E71" si="3">IF(+I$14&lt;F18,I$14,D19)</f>
        <v>29887.533333333333</v>
      </c>
      <c r="F19" s="486">
        <f t="shared" ref="F19:F71" si="4">+D19-E19</f>
        <v>1271140.3555555556</v>
      </c>
      <c r="G19" s="487">
        <f t="shared" ref="G19:G71" si="5">(D19+F19)/2*I$12+E19</f>
        <v>203940.25547932176</v>
      </c>
      <c r="H19" s="456">
        <f t="shared" ref="H19:H71" si="6">+(D19+F19)/2*I$13+E19</f>
        <v>203940.25547932176</v>
      </c>
      <c r="I19" s="476">
        <f t="shared" ref="I19:I71" si="7">H19-G19</f>
        <v>0</v>
      </c>
      <c r="J19" s="476"/>
      <c r="K19" s="488"/>
      <c r="L19" s="479">
        <f t="shared" si="0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8">IF(D20=F19,"","IU")</f>
        <v/>
      </c>
      <c r="C20" s="473">
        <f>IF(D11="","-",+C19+1)</f>
        <v>2021</v>
      </c>
      <c r="D20" s="484">
        <f>IF(F19+SUM(E$17:E19)=D$10,F19,D$10-SUM(E$17:E19))</f>
        <v>1271140.3555555556</v>
      </c>
      <c r="E20" s="485">
        <f t="shared" si="3"/>
        <v>29887.533333333333</v>
      </c>
      <c r="F20" s="486">
        <f t="shared" si="4"/>
        <v>1241252.8222222221</v>
      </c>
      <c r="G20" s="487">
        <f t="shared" si="5"/>
        <v>199895.41389780285</v>
      </c>
      <c r="H20" s="456">
        <f t="shared" si="6"/>
        <v>199895.41389780285</v>
      </c>
      <c r="I20" s="476">
        <f t="shared" si="7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8"/>
        <v/>
      </c>
      <c r="C21" s="473">
        <f>IF(D11="","-",+C20+1)</f>
        <v>2022</v>
      </c>
      <c r="D21" s="484">
        <f>IF(F20+SUM(E$17:E20)=D$10,F20,D$10-SUM(E$17:E20))</f>
        <v>1241252.8222222221</v>
      </c>
      <c r="E21" s="485">
        <f t="shared" si="3"/>
        <v>29887.533333333333</v>
      </c>
      <c r="F21" s="486">
        <f t="shared" si="4"/>
        <v>1211365.2888888887</v>
      </c>
      <c r="G21" s="487">
        <f t="shared" si="5"/>
        <v>195850.572316284</v>
      </c>
      <c r="H21" s="456">
        <f t="shared" si="6"/>
        <v>195850.572316284</v>
      </c>
      <c r="I21" s="476">
        <f t="shared" si="7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8"/>
        <v/>
      </c>
      <c r="C22" s="473">
        <f>IF(D11="","-",+C21+1)</f>
        <v>2023</v>
      </c>
      <c r="D22" s="484">
        <f>IF(F21+SUM(E$17:E21)=D$10,F21,D$10-SUM(E$17:E21))</f>
        <v>1211365.2888888887</v>
      </c>
      <c r="E22" s="485">
        <f t="shared" si="3"/>
        <v>29887.533333333333</v>
      </c>
      <c r="F22" s="486">
        <f t="shared" si="4"/>
        <v>1181477.7555555552</v>
      </c>
      <c r="G22" s="487">
        <f t="shared" si="5"/>
        <v>191805.73073476509</v>
      </c>
      <c r="H22" s="456">
        <f t="shared" si="6"/>
        <v>191805.73073476509</v>
      </c>
      <c r="I22" s="476">
        <f t="shared" si="7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8"/>
        <v/>
      </c>
      <c r="C23" s="473">
        <f>IF(D11="","-",+C22+1)</f>
        <v>2024</v>
      </c>
      <c r="D23" s="484">
        <f>IF(F22+SUM(E$17:E22)=D$10,F22,D$10-SUM(E$17:E22))</f>
        <v>1181477.7555555552</v>
      </c>
      <c r="E23" s="485">
        <f t="shared" si="3"/>
        <v>29887.533333333333</v>
      </c>
      <c r="F23" s="486">
        <f t="shared" si="4"/>
        <v>1151590.2222222218</v>
      </c>
      <c r="G23" s="487">
        <f t="shared" si="5"/>
        <v>187760.88915324624</v>
      </c>
      <c r="H23" s="456">
        <f t="shared" si="6"/>
        <v>187760.88915324624</v>
      </c>
      <c r="I23" s="476">
        <f t="shared" si="7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8"/>
        <v/>
      </c>
      <c r="C24" s="473">
        <f>IF(D11="","-",+C23+1)</f>
        <v>2025</v>
      </c>
      <c r="D24" s="484">
        <f>IF(F23+SUM(E$17:E23)=D$10,F23,D$10-SUM(E$17:E23))</f>
        <v>1151590.2222222218</v>
      </c>
      <c r="E24" s="485">
        <f t="shared" si="3"/>
        <v>29887.533333333333</v>
      </c>
      <c r="F24" s="486">
        <f t="shared" si="4"/>
        <v>1121702.6888888883</v>
      </c>
      <c r="G24" s="487">
        <f t="shared" si="5"/>
        <v>183716.04757172734</v>
      </c>
      <c r="H24" s="456">
        <f t="shared" si="6"/>
        <v>183716.04757172734</v>
      </c>
      <c r="I24" s="476">
        <f t="shared" si="7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8"/>
        <v/>
      </c>
      <c r="C25" s="473">
        <f>IF(D11="","-",+C24+1)</f>
        <v>2026</v>
      </c>
      <c r="D25" s="484">
        <f>IF(F24+SUM(E$17:E24)=D$10,F24,D$10-SUM(E$17:E24))</f>
        <v>1121702.6888888883</v>
      </c>
      <c r="E25" s="485">
        <f t="shared" si="3"/>
        <v>29887.533333333333</v>
      </c>
      <c r="F25" s="486">
        <f t="shared" si="4"/>
        <v>1091815.1555555549</v>
      </c>
      <c r="G25" s="487">
        <f t="shared" si="5"/>
        <v>179671.20599020849</v>
      </c>
      <c r="H25" s="456">
        <f t="shared" si="6"/>
        <v>179671.20599020849</v>
      </c>
      <c r="I25" s="476">
        <f t="shared" si="7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8"/>
        <v/>
      </c>
      <c r="C26" s="473">
        <f>IF(D11="","-",+C25+1)</f>
        <v>2027</v>
      </c>
      <c r="D26" s="484">
        <f>IF(F25+SUM(E$17:E25)=D$10,F25,D$10-SUM(E$17:E25))</f>
        <v>1091815.1555555549</v>
      </c>
      <c r="E26" s="485">
        <f t="shared" si="3"/>
        <v>29887.533333333333</v>
      </c>
      <c r="F26" s="486">
        <f t="shared" si="4"/>
        <v>1061927.6222222215</v>
      </c>
      <c r="G26" s="487">
        <f t="shared" si="5"/>
        <v>175626.36440868958</v>
      </c>
      <c r="H26" s="456">
        <f t="shared" si="6"/>
        <v>175626.36440868958</v>
      </c>
      <c r="I26" s="476">
        <f t="shared" si="7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8"/>
        <v/>
      </c>
      <c r="C27" s="473">
        <f>IF(D11="","-",+C26+1)</f>
        <v>2028</v>
      </c>
      <c r="D27" s="484">
        <f>IF(F26+SUM(E$17:E26)=D$10,F26,D$10-SUM(E$17:E26))</f>
        <v>1061927.6222222215</v>
      </c>
      <c r="E27" s="485">
        <f t="shared" si="3"/>
        <v>29887.533333333333</v>
      </c>
      <c r="F27" s="486">
        <f t="shared" si="4"/>
        <v>1032040.0888888881</v>
      </c>
      <c r="G27" s="487">
        <f t="shared" si="5"/>
        <v>171581.52282717073</v>
      </c>
      <c r="H27" s="456">
        <f t="shared" si="6"/>
        <v>171581.52282717073</v>
      </c>
      <c r="I27" s="476">
        <f t="shared" si="7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8"/>
        <v/>
      </c>
      <c r="C28" s="473">
        <f>IF(D11="","-",+C27+1)</f>
        <v>2029</v>
      </c>
      <c r="D28" s="484">
        <f>IF(F27+SUM(E$17:E27)=D$10,F27,D$10-SUM(E$17:E27))</f>
        <v>1032040.0888888881</v>
      </c>
      <c r="E28" s="485">
        <f t="shared" si="3"/>
        <v>29887.533333333333</v>
      </c>
      <c r="F28" s="486">
        <f t="shared" si="4"/>
        <v>1002152.5555555548</v>
      </c>
      <c r="G28" s="487">
        <f t="shared" si="5"/>
        <v>167536.68124565185</v>
      </c>
      <c r="H28" s="456">
        <f t="shared" si="6"/>
        <v>167536.68124565185</v>
      </c>
      <c r="I28" s="476">
        <f t="shared" si="7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8"/>
        <v/>
      </c>
      <c r="C29" s="473">
        <f>IF(D11="","-",+C28+1)</f>
        <v>2030</v>
      </c>
      <c r="D29" s="484">
        <f>IF(F28+SUM(E$17:E28)=D$10,F28,D$10-SUM(E$17:E28))</f>
        <v>1002152.5555555548</v>
      </c>
      <c r="E29" s="485">
        <f t="shared" si="3"/>
        <v>29887.533333333333</v>
      </c>
      <c r="F29" s="486">
        <f t="shared" si="4"/>
        <v>972265.02222222148</v>
      </c>
      <c r="G29" s="487">
        <f t="shared" si="5"/>
        <v>163491.839664133</v>
      </c>
      <c r="H29" s="456">
        <f t="shared" si="6"/>
        <v>163491.839664133</v>
      </c>
      <c r="I29" s="476">
        <f t="shared" si="7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8"/>
        <v/>
      </c>
      <c r="C30" s="473">
        <f>IF(D11="","-",+C29+1)</f>
        <v>2031</v>
      </c>
      <c r="D30" s="484">
        <f>IF(F29+SUM(E$17:E29)=D$10,F29,D$10-SUM(E$17:E29))</f>
        <v>972265.02222222148</v>
      </c>
      <c r="E30" s="485">
        <f t="shared" si="3"/>
        <v>29887.533333333333</v>
      </c>
      <c r="F30" s="486">
        <f t="shared" si="4"/>
        <v>942377.48888888815</v>
      </c>
      <c r="G30" s="487">
        <f t="shared" si="5"/>
        <v>159446.99808261413</v>
      </c>
      <c r="H30" s="456">
        <f t="shared" si="6"/>
        <v>159446.99808261413</v>
      </c>
      <c r="I30" s="476">
        <f t="shared" si="7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8"/>
        <v/>
      </c>
      <c r="C31" s="473">
        <f>IF(D11="","-",+C30+1)</f>
        <v>2032</v>
      </c>
      <c r="D31" s="484">
        <f>IF(F30+SUM(E$17:E30)=D$10,F30,D$10-SUM(E$17:E30))</f>
        <v>942377.48888888815</v>
      </c>
      <c r="E31" s="485">
        <f t="shared" si="3"/>
        <v>29887.533333333333</v>
      </c>
      <c r="F31" s="486">
        <f t="shared" si="4"/>
        <v>912489.95555555483</v>
      </c>
      <c r="G31" s="487">
        <f t="shared" si="5"/>
        <v>155402.15650109528</v>
      </c>
      <c r="H31" s="456">
        <f t="shared" si="6"/>
        <v>155402.15650109528</v>
      </c>
      <c r="I31" s="476">
        <f t="shared" si="7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8"/>
        <v/>
      </c>
      <c r="C32" s="473">
        <f>IF(D11="","-",+C31+1)</f>
        <v>2033</v>
      </c>
      <c r="D32" s="484">
        <f>IF(F31+SUM(E$17:E31)=D$10,F31,D$10-SUM(E$17:E31))</f>
        <v>912489.95555555483</v>
      </c>
      <c r="E32" s="485">
        <f t="shared" si="3"/>
        <v>29887.533333333333</v>
      </c>
      <c r="F32" s="486">
        <f t="shared" si="4"/>
        <v>882602.4222222215</v>
      </c>
      <c r="G32" s="487">
        <f t="shared" si="5"/>
        <v>151357.3149195764</v>
      </c>
      <c r="H32" s="456">
        <f t="shared" si="6"/>
        <v>151357.3149195764</v>
      </c>
      <c r="I32" s="476">
        <f t="shared" si="7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8"/>
        <v/>
      </c>
      <c r="C33" s="473">
        <f>IF(D11="","-",+C32+1)</f>
        <v>2034</v>
      </c>
      <c r="D33" s="484">
        <f>IF(F32+SUM(E$17:E32)=D$10,F32,D$10-SUM(E$17:E32))</f>
        <v>882602.4222222215</v>
      </c>
      <c r="E33" s="485">
        <f t="shared" si="3"/>
        <v>29887.533333333333</v>
      </c>
      <c r="F33" s="486">
        <f t="shared" si="4"/>
        <v>852714.88888888818</v>
      </c>
      <c r="G33" s="487">
        <f t="shared" si="5"/>
        <v>147312.47333805755</v>
      </c>
      <c r="H33" s="456">
        <f t="shared" si="6"/>
        <v>147312.47333805755</v>
      </c>
      <c r="I33" s="476">
        <f t="shared" si="7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8"/>
        <v/>
      </c>
      <c r="C34" s="473">
        <f>IF(D11="","-",+C33+1)</f>
        <v>2035</v>
      </c>
      <c r="D34" s="484">
        <f>IF(F33+SUM(E$17:E33)=D$10,F33,D$10-SUM(E$17:E33))</f>
        <v>852714.88888888818</v>
      </c>
      <c r="E34" s="485">
        <f t="shared" si="3"/>
        <v>29887.533333333333</v>
      </c>
      <c r="F34" s="486">
        <f t="shared" si="4"/>
        <v>822827.35555555485</v>
      </c>
      <c r="G34" s="487">
        <f t="shared" si="5"/>
        <v>143267.63175653867</v>
      </c>
      <c r="H34" s="456">
        <f t="shared" si="6"/>
        <v>143267.63175653867</v>
      </c>
      <c r="I34" s="476">
        <f t="shared" si="7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8"/>
        <v/>
      </c>
      <c r="C35" s="473">
        <f>IF(D11="","-",+C34+1)</f>
        <v>2036</v>
      </c>
      <c r="D35" s="484">
        <f>IF(F34+SUM(E$17:E34)=D$10,F34,D$10-SUM(E$17:E34))</f>
        <v>822827.35555555485</v>
      </c>
      <c r="E35" s="485">
        <f t="shared" si="3"/>
        <v>29887.533333333333</v>
      </c>
      <c r="F35" s="486">
        <f t="shared" si="4"/>
        <v>792939.82222222153</v>
      </c>
      <c r="G35" s="487">
        <f t="shared" si="5"/>
        <v>139222.79017501982</v>
      </c>
      <c r="H35" s="456">
        <f t="shared" si="6"/>
        <v>139222.79017501982</v>
      </c>
      <c r="I35" s="476">
        <f t="shared" si="7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8"/>
        <v/>
      </c>
      <c r="C36" s="473">
        <f>IF(D11="","-",+C35+1)</f>
        <v>2037</v>
      </c>
      <c r="D36" s="484">
        <f>IF(F35+SUM(E$17:E35)=D$10,F35,D$10-SUM(E$17:E35))</f>
        <v>792939.82222222153</v>
      </c>
      <c r="E36" s="485">
        <f t="shared" si="3"/>
        <v>29887.533333333333</v>
      </c>
      <c r="F36" s="486">
        <f t="shared" si="4"/>
        <v>763052.2888888882</v>
      </c>
      <c r="G36" s="487">
        <f t="shared" si="5"/>
        <v>135177.94859350094</v>
      </c>
      <c r="H36" s="456">
        <f t="shared" si="6"/>
        <v>135177.94859350094</v>
      </c>
      <c r="I36" s="476">
        <f t="shared" si="7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8"/>
        <v/>
      </c>
      <c r="C37" s="473">
        <f>IF(D11="","-",+C36+1)</f>
        <v>2038</v>
      </c>
      <c r="D37" s="484">
        <f>IF(F36+SUM(E$17:E36)=D$10,F36,D$10-SUM(E$17:E36))</f>
        <v>763052.2888888882</v>
      </c>
      <c r="E37" s="485">
        <f t="shared" si="3"/>
        <v>29887.533333333333</v>
      </c>
      <c r="F37" s="486">
        <f t="shared" si="4"/>
        <v>733164.75555555488</v>
      </c>
      <c r="G37" s="487">
        <f t="shared" si="5"/>
        <v>131133.10701198209</v>
      </c>
      <c r="H37" s="456">
        <f t="shared" si="6"/>
        <v>131133.10701198209</v>
      </c>
      <c r="I37" s="476">
        <f t="shared" si="7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8"/>
        <v/>
      </c>
      <c r="C38" s="473">
        <f>IF(D11="","-",+C37+1)</f>
        <v>2039</v>
      </c>
      <c r="D38" s="484">
        <f>IF(F37+SUM(E$17:E37)=D$10,F37,D$10-SUM(E$17:E37))</f>
        <v>733164.75555555488</v>
      </c>
      <c r="E38" s="485">
        <f t="shared" si="3"/>
        <v>29887.533333333333</v>
      </c>
      <c r="F38" s="486">
        <f t="shared" si="4"/>
        <v>703277.22222222155</v>
      </c>
      <c r="G38" s="487">
        <f t="shared" si="5"/>
        <v>127088.26543046322</v>
      </c>
      <c r="H38" s="456">
        <f t="shared" si="6"/>
        <v>127088.26543046322</v>
      </c>
      <c r="I38" s="476">
        <f t="shared" si="7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8"/>
        <v/>
      </c>
      <c r="C39" s="473">
        <f>IF(D11="","-",+C38+1)</f>
        <v>2040</v>
      </c>
      <c r="D39" s="484">
        <f>IF(F38+SUM(E$17:E38)=D$10,F38,D$10-SUM(E$17:E38))</f>
        <v>703277.22222222155</v>
      </c>
      <c r="E39" s="485">
        <f t="shared" si="3"/>
        <v>29887.533333333333</v>
      </c>
      <c r="F39" s="486">
        <f t="shared" si="4"/>
        <v>673389.68888888822</v>
      </c>
      <c r="G39" s="487">
        <f t="shared" si="5"/>
        <v>123043.42384894437</v>
      </c>
      <c r="H39" s="456">
        <f t="shared" si="6"/>
        <v>123043.42384894437</v>
      </c>
      <c r="I39" s="476">
        <f t="shared" si="7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8"/>
        <v/>
      </c>
      <c r="C40" s="473">
        <f>IF(D11="","-",+C39+1)</f>
        <v>2041</v>
      </c>
      <c r="D40" s="484">
        <f>IF(F39+SUM(E$17:E39)=D$10,F39,D$10-SUM(E$17:E39))</f>
        <v>673389.68888888822</v>
      </c>
      <c r="E40" s="485">
        <f t="shared" si="3"/>
        <v>29887.533333333333</v>
      </c>
      <c r="F40" s="486">
        <f t="shared" si="4"/>
        <v>643502.1555555549</v>
      </c>
      <c r="G40" s="487">
        <f t="shared" si="5"/>
        <v>118998.58226742549</v>
      </c>
      <c r="H40" s="456">
        <f t="shared" si="6"/>
        <v>118998.58226742549</v>
      </c>
      <c r="I40" s="476">
        <f t="shared" si="7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8"/>
        <v/>
      </c>
      <c r="C41" s="473">
        <f>IF(D11="","-",+C40+1)</f>
        <v>2042</v>
      </c>
      <c r="D41" s="484">
        <f>IF(F40+SUM(E$17:E40)=D$10,F40,D$10-SUM(E$17:E40))</f>
        <v>643502.1555555549</v>
      </c>
      <c r="E41" s="485">
        <f t="shared" si="3"/>
        <v>29887.533333333333</v>
      </c>
      <c r="F41" s="486">
        <f t="shared" si="4"/>
        <v>613614.62222222157</v>
      </c>
      <c r="G41" s="487">
        <f t="shared" si="5"/>
        <v>114953.74068590664</v>
      </c>
      <c r="H41" s="456">
        <f t="shared" si="6"/>
        <v>114953.74068590664</v>
      </c>
      <c r="I41" s="476">
        <f t="shared" si="7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8"/>
        <v/>
      </c>
      <c r="C42" s="473">
        <f>IF(D11="","-",+C41+1)</f>
        <v>2043</v>
      </c>
      <c r="D42" s="484">
        <f>IF(F41+SUM(E$17:E41)=D$10,F41,D$10-SUM(E$17:E41))</f>
        <v>613614.62222222157</v>
      </c>
      <c r="E42" s="485">
        <f t="shared" si="3"/>
        <v>29887.533333333333</v>
      </c>
      <c r="F42" s="486">
        <f t="shared" si="4"/>
        <v>583727.08888888825</v>
      </c>
      <c r="G42" s="487">
        <f t="shared" si="5"/>
        <v>110908.89910438776</v>
      </c>
      <c r="H42" s="456">
        <f t="shared" si="6"/>
        <v>110908.89910438776</v>
      </c>
      <c r="I42" s="476">
        <f t="shared" si="7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8"/>
        <v/>
      </c>
      <c r="C43" s="473">
        <f>IF(D11="","-",+C42+1)</f>
        <v>2044</v>
      </c>
      <c r="D43" s="484">
        <f>IF(F42+SUM(E$17:E42)=D$10,F42,D$10-SUM(E$17:E42))</f>
        <v>583727.08888888825</v>
      </c>
      <c r="E43" s="485">
        <f t="shared" si="3"/>
        <v>29887.533333333333</v>
      </c>
      <c r="F43" s="486">
        <f t="shared" si="4"/>
        <v>553839.55555555492</v>
      </c>
      <c r="G43" s="487">
        <f t="shared" si="5"/>
        <v>106864.05752286891</v>
      </c>
      <c r="H43" s="456">
        <f t="shared" si="6"/>
        <v>106864.05752286891</v>
      </c>
      <c r="I43" s="476">
        <f t="shared" si="7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8"/>
        <v/>
      </c>
      <c r="C44" s="473">
        <f>IF(D11="","-",+C43+1)</f>
        <v>2045</v>
      </c>
      <c r="D44" s="484">
        <f>IF(F43+SUM(E$17:E43)=D$10,F43,D$10-SUM(E$17:E43))</f>
        <v>553839.55555555492</v>
      </c>
      <c r="E44" s="485">
        <f t="shared" si="3"/>
        <v>29887.533333333333</v>
      </c>
      <c r="F44" s="486">
        <f t="shared" si="4"/>
        <v>523952.0222222216</v>
      </c>
      <c r="G44" s="487">
        <f t="shared" si="5"/>
        <v>102819.21594135003</v>
      </c>
      <c r="H44" s="456">
        <f t="shared" si="6"/>
        <v>102819.21594135003</v>
      </c>
      <c r="I44" s="476">
        <f t="shared" si="7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8"/>
        <v/>
      </c>
      <c r="C45" s="473">
        <f>IF(D11="","-",+C44+1)</f>
        <v>2046</v>
      </c>
      <c r="D45" s="484">
        <f>IF(F44+SUM(E$17:E44)=D$10,F44,D$10-SUM(E$17:E44))</f>
        <v>523952.0222222216</v>
      </c>
      <c r="E45" s="485">
        <f t="shared" si="3"/>
        <v>29887.533333333333</v>
      </c>
      <c r="F45" s="486">
        <f t="shared" si="4"/>
        <v>494064.48888888827</v>
      </c>
      <c r="G45" s="487">
        <f t="shared" si="5"/>
        <v>98774.374359831185</v>
      </c>
      <c r="H45" s="456">
        <f t="shared" si="6"/>
        <v>98774.374359831185</v>
      </c>
      <c r="I45" s="476">
        <f t="shared" si="7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8"/>
        <v/>
      </c>
      <c r="C46" s="473">
        <f>IF(D11="","-",+C45+1)</f>
        <v>2047</v>
      </c>
      <c r="D46" s="484">
        <f>IF(F45+SUM(E$17:E45)=D$10,F45,D$10-SUM(E$17:E45))</f>
        <v>494064.48888888827</v>
      </c>
      <c r="E46" s="485">
        <f t="shared" si="3"/>
        <v>29887.533333333333</v>
      </c>
      <c r="F46" s="486">
        <f t="shared" si="4"/>
        <v>464176.95555555495</v>
      </c>
      <c r="G46" s="487">
        <f t="shared" si="5"/>
        <v>94729.532778312336</v>
      </c>
      <c r="H46" s="456">
        <f t="shared" si="6"/>
        <v>94729.532778312336</v>
      </c>
      <c r="I46" s="476">
        <f t="shared" si="7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8"/>
        <v/>
      </c>
      <c r="C47" s="473">
        <f>IF(D11="","-",+C46+1)</f>
        <v>2048</v>
      </c>
      <c r="D47" s="484">
        <f>IF(F46+SUM(E$17:E46)=D$10,F46,D$10-SUM(E$17:E46))</f>
        <v>464176.95555555495</v>
      </c>
      <c r="E47" s="485">
        <f t="shared" si="3"/>
        <v>29887.533333333333</v>
      </c>
      <c r="F47" s="486">
        <f t="shared" si="4"/>
        <v>434289.42222222162</v>
      </c>
      <c r="G47" s="487">
        <f t="shared" si="5"/>
        <v>90684.691196793457</v>
      </c>
      <c r="H47" s="456">
        <f t="shared" si="6"/>
        <v>90684.691196793457</v>
      </c>
      <c r="I47" s="476">
        <f t="shared" si="7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8"/>
        <v/>
      </c>
      <c r="C48" s="473">
        <f>IF(D11="","-",+C47+1)</f>
        <v>2049</v>
      </c>
      <c r="D48" s="484">
        <f>IF(F47+SUM(E$17:E47)=D$10,F47,D$10-SUM(E$17:E47))</f>
        <v>434289.42222222162</v>
      </c>
      <c r="E48" s="485">
        <f t="shared" si="3"/>
        <v>29887.533333333333</v>
      </c>
      <c r="F48" s="486">
        <f t="shared" si="4"/>
        <v>404401.88888888829</v>
      </c>
      <c r="G48" s="487">
        <f t="shared" si="5"/>
        <v>86639.849615274608</v>
      </c>
      <c r="H48" s="456">
        <f t="shared" si="6"/>
        <v>86639.849615274608</v>
      </c>
      <c r="I48" s="476">
        <f t="shared" si="7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8"/>
        <v/>
      </c>
      <c r="C49" s="473">
        <f>IF(D11="","-",+C48+1)</f>
        <v>2050</v>
      </c>
      <c r="D49" s="484">
        <f>IF(F48+SUM(E$17:E48)=D$10,F48,D$10-SUM(E$17:E48))</f>
        <v>404401.88888888829</v>
      </c>
      <c r="E49" s="485">
        <f t="shared" si="3"/>
        <v>29887.533333333333</v>
      </c>
      <c r="F49" s="486">
        <f t="shared" si="4"/>
        <v>374514.35555555497</v>
      </c>
      <c r="G49" s="487">
        <f t="shared" si="5"/>
        <v>82595.00803375573</v>
      </c>
      <c r="H49" s="456">
        <f t="shared" si="6"/>
        <v>82595.00803375573</v>
      </c>
      <c r="I49" s="476">
        <f t="shared" si="7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8"/>
        <v/>
      </c>
      <c r="C50" s="473">
        <f>IF(D11="","-",+C49+1)</f>
        <v>2051</v>
      </c>
      <c r="D50" s="484">
        <f>IF(F49+SUM(E$17:E49)=D$10,F49,D$10-SUM(E$17:E49))</f>
        <v>374514.35555555497</v>
      </c>
      <c r="E50" s="485">
        <f t="shared" si="3"/>
        <v>29887.533333333333</v>
      </c>
      <c r="F50" s="486">
        <f t="shared" si="4"/>
        <v>344626.82222222164</v>
      </c>
      <c r="G50" s="487">
        <f t="shared" si="5"/>
        <v>78550.166452236881</v>
      </c>
      <c r="H50" s="456">
        <f t="shared" si="6"/>
        <v>78550.166452236881</v>
      </c>
      <c r="I50" s="476">
        <f t="shared" si="7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8"/>
        <v/>
      </c>
      <c r="C51" s="473">
        <f>IF(D11="","-",+C50+1)</f>
        <v>2052</v>
      </c>
      <c r="D51" s="484">
        <f>IF(F50+SUM(E$17:E50)=D$10,F50,D$10-SUM(E$17:E50))</f>
        <v>344626.82222222164</v>
      </c>
      <c r="E51" s="485">
        <f t="shared" si="3"/>
        <v>29887.533333333333</v>
      </c>
      <c r="F51" s="486">
        <f t="shared" si="4"/>
        <v>314739.28888888832</v>
      </c>
      <c r="G51" s="487">
        <f t="shared" si="5"/>
        <v>74505.324870718017</v>
      </c>
      <c r="H51" s="456">
        <f t="shared" si="6"/>
        <v>74505.324870718017</v>
      </c>
      <c r="I51" s="476">
        <f t="shared" si="7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8"/>
        <v/>
      </c>
      <c r="C52" s="473">
        <f>IF(D11="","-",+C51+1)</f>
        <v>2053</v>
      </c>
      <c r="D52" s="484">
        <f>IF(F51+SUM(E$17:E51)=D$10,F51,D$10-SUM(E$17:E51))</f>
        <v>314739.28888888832</v>
      </c>
      <c r="E52" s="485">
        <f t="shared" si="3"/>
        <v>29887.533333333333</v>
      </c>
      <c r="F52" s="486">
        <f t="shared" si="4"/>
        <v>284851.75555555499</v>
      </c>
      <c r="G52" s="487">
        <f t="shared" si="5"/>
        <v>70460.483289199154</v>
      </c>
      <c r="H52" s="456">
        <f t="shared" si="6"/>
        <v>70460.483289199154</v>
      </c>
      <c r="I52" s="476">
        <f t="shared" si="7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8"/>
        <v/>
      </c>
      <c r="C53" s="473">
        <f>IF(D11="","-",+C52+1)</f>
        <v>2054</v>
      </c>
      <c r="D53" s="484">
        <f>IF(F52+SUM(E$17:E52)=D$10,F52,D$10-SUM(E$17:E52))</f>
        <v>284851.75555555499</v>
      </c>
      <c r="E53" s="485">
        <f t="shared" si="3"/>
        <v>29887.533333333333</v>
      </c>
      <c r="F53" s="486">
        <f t="shared" si="4"/>
        <v>254964.22222222167</v>
      </c>
      <c r="G53" s="487">
        <f t="shared" si="5"/>
        <v>66415.64170768029</v>
      </c>
      <c r="H53" s="456">
        <f t="shared" si="6"/>
        <v>66415.64170768029</v>
      </c>
      <c r="I53" s="476">
        <f t="shared" si="7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8"/>
        <v/>
      </c>
      <c r="C54" s="473">
        <f>IF(D11="","-",+C53+1)</f>
        <v>2055</v>
      </c>
      <c r="D54" s="484">
        <f>IF(F53+SUM(E$17:E53)=D$10,F53,D$10-SUM(E$17:E53))</f>
        <v>254964.22222222167</v>
      </c>
      <c r="E54" s="485">
        <f t="shared" si="3"/>
        <v>29887.533333333333</v>
      </c>
      <c r="F54" s="486">
        <f t="shared" si="4"/>
        <v>225076.68888888834</v>
      </c>
      <c r="G54" s="487">
        <f t="shared" si="5"/>
        <v>62370.800126161426</v>
      </c>
      <c r="H54" s="456">
        <f t="shared" si="6"/>
        <v>62370.800126161426</v>
      </c>
      <c r="I54" s="476">
        <f t="shared" si="7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8"/>
        <v/>
      </c>
      <c r="C55" s="473">
        <f>IF(D11="","-",+C54+1)</f>
        <v>2056</v>
      </c>
      <c r="D55" s="484">
        <f>IF(F54+SUM(E$17:E54)=D$10,F54,D$10-SUM(E$17:E54))</f>
        <v>225076.68888888834</v>
      </c>
      <c r="E55" s="485">
        <f t="shared" si="3"/>
        <v>29887.533333333333</v>
      </c>
      <c r="F55" s="486">
        <f t="shared" si="4"/>
        <v>195189.15555555501</v>
      </c>
      <c r="G55" s="487">
        <f t="shared" si="5"/>
        <v>58325.958544642563</v>
      </c>
      <c r="H55" s="456">
        <f t="shared" si="6"/>
        <v>58325.958544642563</v>
      </c>
      <c r="I55" s="476">
        <f t="shared" si="7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8"/>
        <v/>
      </c>
      <c r="C56" s="473">
        <f>IF(D11="","-",+C55+1)</f>
        <v>2057</v>
      </c>
      <c r="D56" s="484">
        <f>IF(F55+SUM(E$17:E55)=D$10,F55,D$10-SUM(E$17:E55))</f>
        <v>195189.15555555501</v>
      </c>
      <c r="E56" s="485">
        <f t="shared" si="3"/>
        <v>29887.533333333333</v>
      </c>
      <c r="F56" s="486">
        <f t="shared" si="4"/>
        <v>165301.62222222169</v>
      </c>
      <c r="G56" s="487">
        <f t="shared" si="5"/>
        <v>54281.116963123699</v>
      </c>
      <c r="H56" s="456">
        <f t="shared" si="6"/>
        <v>54281.116963123699</v>
      </c>
      <c r="I56" s="476">
        <f t="shared" si="7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8"/>
        <v/>
      </c>
      <c r="C57" s="473">
        <f>IF(D11="","-",+C56+1)</f>
        <v>2058</v>
      </c>
      <c r="D57" s="484">
        <f>IF(F56+SUM(E$17:E56)=D$10,F56,D$10-SUM(E$17:E56))</f>
        <v>165301.62222222169</v>
      </c>
      <c r="E57" s="485">
        <f t="shared" si="3"/>
        <v>29887.533333333333</v>
      </c>
      <c r="F57" s="486">
        <f t="shared" si="4"/>
        <v>135414.08888888836</v>
      </c>
      <c r="G57" s="487">
        <f t="shared" si="5"/>
        <v>50236.275381604835</v>
      </c>
      <c r="H57" s="456">
        <f t="shared" si="6"/>
        <v>50236.275381604835</v>
      </c>
      <c r="I57" s="476">
        <f t="shared" si="7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8"/>
        <v/>
      </c>
      <c r="C58" s="473">
        <f>IF(D11="","-",+C57+1)</f>
        <v>2059</v>
      </c>
      <c r="D58" s="484">
        <f>IF(F57+SUM(E$17:E57)=D$10,F57,D$10-SUM(E$17:E57))</f>
        <v>135414.08888888836</v>
      </c>
      <c r="E58" s="485">
        <f t="shared" si="3"/>
        <v>29887.533333333333</v>
      </c>
      <c r="F58" s="486">
        <f t="shared" si="4"/>
        <v>105526.55555555504</v>
      </c>
      <c r="G58" s="487">
        <f t="shared" si="5"/>
        <v>46191.433800085972</v>
      </c>
      <c r="H58" s="456">
        <f t="shared" si="6"/>
        <v>46191.433800085972</v>
      </c>
      <c r="I58" s="476">
        <f t="shared" si="7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8"/>
        <v/>
      </c>
      <c r="C59" s="473">
        <f>IF(D11="","-",+C58+1)</f>
        <v>2060</v>
      </c>
      <c r="D59" s="484">
        <f>IF(F58+SUM(E$17:E58)=D$10,F58,D$10-SUM(E$17:E58))</f>
        <v>105526.55555555504</v>
      </c>
      <c r="E59" s="485">
        <f t="shared" si="3"/>
        <v>29887.533333333333</v>
      </c>
      <c r="F59" s="486">
        <f t="shared" si="4"/>
        <v>75639.022222221713</v>
      </c>
      <c r="G59" s="487">
        <f t="shared" si="5"/>
        <v>42146.592218567108</v>
      </c>
      <c r="H59" s="456">
        <f t="shared" si="6"/>
        <v>42146.592218567108</v>
      </c>
      <c r="I59" s="476">
        <f t="shared" si="7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8"/>
        <v/>
      </c>
      <c r="C60" s="473">
        <f>IF(D11="","-",+C59+1)</f>
        <v>2061</v>
      </c>
      <c r="D60" s="484">
        <f>IF(F59+SUM(E$17:E59)=D$10,F59,D$10-SUM(E$17:E59))</f>
        <v>75639.022222221713</v>
      </c>
      <c r="E60" s="485">
        <f t="shared" si="3"/>
        <v>29887.533333333333</v>
      </c>
      <c r="F60" s="486">
        <f t="shared" si="4"/>
        <v>45751.48888888838</v>
      </c>
      <c r="G60" s="487">
        <f t="shared" si="5"/>
        <v>38101.750637048244</v>
      </c>
      <c r="H60" s="456">
        <f t="shared" si="6"/>
        <v>38101.750637048244</v>
      </c>
      <c r="I60" s="476">
        <f t="shared" si="7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8"/>
        <v/>
      </c>
      <c r="C61" s="473">
        <f>IF(D11="","-",+C60+1)</f>
        <v>2062</v>
      </c>
      <c r="D61" s="484">
        <f>IF(F60+SUM(E$17:E60)=D$10,F60,D$10-SUM(E$17:E60))</f>
        <v>45751.48888888838</v>
      </c>
      <c r="E61" s="485">
        <f t="shared" si="3"/>
        <v>29887.533333333333</v>
      </c>
      <c r="F61" s="486">
        <f t="shared" si="4"/>
        <v>15863.955555555047</v>
      </c>
      <c r="G61" s="487">
        <f t="shared" si="5"/>
        <v>34056.909055529381</v>
      </c>
      <c r="H61" s="456">
        <f t="shared" si="6"/>
        <v>34056.909055529381</v>
      </c>
      <c r="I61" s="476">
        <f t="shared" si="7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8"/>
        <v/>
      </c>
      <c r="C62" s="473">
        <f>IF(D11="","-",+C61+1)</f>
        <v>2063</v>
      </c>
      <c r="D62" s="484">
        <f>IF(F61+SUM(E$17:E61)=D$10,F61,D$10-SUM(E$17:E61))</f>
        <v>15863.955555555047</v>
      </c>
      <c r="E62" s="485">
        <f t="shared" si="3"/>
        <v>15863.955555555047</v>
      </c>
      <c r="F62" s="486">
        <f t="shared" si="4"/>
        <v>0</v>
      </c>
      <c r="G62" s="487">
        <f t="shared" si="5"/>
        <v>16937.433021273355</v>
      </c>
      <c r="H62" s="456">
        <f t="shared" si="6"/>
        <v>16937.433021273355</v>
      </c>
      <c r="I62" s="476">
        <f t="shared" si="7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8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3"/>
        <v>0</v>
      </c>
      <c r="F63" s="486">
        <f t="shared" si="4"/>
        <v>0</v>
      </c>
      <c r="G63" s="487">
        <f t="shared" si="5"/>
        <v>0</v>
      </c>
      <c r="H63" s="456">
        <f t="shared" si="6"/>
        <v>0</v>
      </c>
      <c r="I63" s="476">
        <f t="shared" si="7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8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3"/>
        <v>0</v>
      </c>
      <c r="F64" s="486">
        <f t="shared" si="4"/>
        <v>0</v>
      </c>
      <c r="G64" s="487">
        <f t="shared" si="5"/>
        <v>0</v>
      </c>
      <c r="H64" s="456">
        <f t="shared" si="6"/>
        <v>0</v>
      </c>
      <c r="I64" s="476">
        <f t="shared" si="7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8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3"/>
        <v>0</v>
      </c>
      <c r="F65" s="486">
        <f t="shared" si="4"/>
        <v>0</v>
      </c>
      <c r="G65" s="487">
        <f t="shared" si="5"/>
        <v>0</v>
      </c>
      <c r="H65" s="456">
        <f t="shared" si="6"/>
        <v>0</v>
      </c>
      <c r="I65" s="476">
        <f t="shared" si="7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8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3"/>
        <v>0</v>
      </c>
      <c r="F66" s="486">
        <f t="shared" si="4"/>
        <v>0</v>
      </c>
      <c r="G66" s="487">
        <f t="shared" si="5"/>
        <v>0</v>
      </c>
      <c r="H66" s="456">
        <f t="shared" si="6"/>
        <v>0</v>
      </c>
      <c r="I66" s="476">
        <f t="shared" si="7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8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3"/>
        <v>0</v>
      </c>
      <c r="F67" s="486">
        <f t="shared" si="4"/>
        <v>0</v>
      </c>
      <c r="G67" s="487">
        <f t="shared" si="5"/>
        <v>0</v>
      </c>
      <c r="H67" s="456">
        <f t="shared" si="6"/>
        <v>0</v>
      </c>
      <c r="I67" s="476">
        <f t="shared" si="7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8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3"/>
        <v>0</v>
      </c>
      <c r="F68" s="486">
        <f t="shared" si="4"/>
        <v>0</v>
      </c>
      <c r="G68" s="487">
        <f t="shared" si="5"/>
        <v>0</v>
      </c>
      <c r="H68" s="456">
        <f t="shared" si="6"/>
        <v>0</v>
      </c>
      <c r="I68" s="476">
        <f t="shared" si="7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8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3"/>
        <v>0</v>
      </c>
      <c r="F69" s="486">
        <f t="shared" si="4"/>
        <v>0</v>
      </c>
      <c r="G69" s="487">
        <f t="shared" si="5"/>
        <v>0</v>
      </c>
      <c r="H69" s="456">
        <f t="shared" si="6"/>
        <v>0</v>
      </c>
      <c r="I69" s="476">
        <f t="shared" si="7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8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3"/>
        <v>0</v>
      </c>
      <c r="F70" s="486">
        <f t="shared" si="4"/>
        <v>0</v>
      </c>
      <c r="G70" s="487">
        <f t="shared" si="5"/>
        <v>0</v>
      </c>
      <c r="H70" s="456">
        <f t="shared" si="6"/>
        <v>0</v>
      </c>
      <c r="I70" s="476">
        <f t="shared" si="7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8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3"/>
        <v>0</v>
      </c>
      <c r="F71" s="486">
        <f t="shared" si="4"/>
        <v>0</v>
      </c>
      <c r="G71" s="487">
        <f t="shared" si="5"/>
        <v>0</v>
      </c>
      <c r="H71" s="456">
        <f t="shared" si="6"/>
        <v>0</v>
      </c>
      <c r="I71" s="476">
        <f t="shared" si="7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8"/>
        <v/>
      </c>
      <c r="C72" s="490">
        <f>IF(D11="","-",+C71+1)</f>
        <v>2073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1344939.0000000002</v>
      </c>
      <c r="F73" s="348"/>
      <c r="G73" s="348">
        <f>SUM(G17:G72)</f>
        <v>5382360.657115127</v>
      </c>
      <c r="H73" s="348">
        <f>SUM(H17:H72)</f>
        <v>5382360.657115127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24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162968.67771034624</v>
      </c>
      <c r="N87" s="509">
        <f>IF(J92&lt;D11,0,VLOOKUP(J92,C17:O72,11))</f>
        <v>162968.67771034624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168273.45246575892</v>
      </c>
      <c r="N88" s="513">
        <f>IF(J92&lt;D11,0,VLOOKUP(J92,C99:P154,7))</f>
        <v>168273.45246575892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Duncan-Comanche Tap 69 KV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5304.7747554126836</v>
      </c>
      <c r="N89" s="518">
        <f>+N88-N87</f>
        <v>5304.7747554126836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TP2015191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1345383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5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32814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15290</v>
      </c>
      <c r="F99" s="585">
        <v>1299649</v>
      </c>
      <c r="G99" s="609">
        <v>649824.5</v>
      </c>
      <c r="H99" s="588">
        <v>82050.088345518569</v>
      </c>
      <c r="I99" s="608">
        <v>82050.088345518569</v>
      </c>
      <c r="J99" s="479">
        <f>+I99-H99</f>
        <v>0</v>
      </c>
      <c r="K99" s="479"/>
      <c r="L99" s="478">
        <f>+H99</f>
        <v>82050.088345518569</v>
      </c>
      <c r="M99" s="478">
        <f t="shared" ref="M99" si="9">IF(L99&lt;&gt;0,+H99-L99,0)</f>
        <v>0</v>
      </c>
      <c r="N99" s="478">
        <f>+I99</f>
        <v>82050.088345518569</v>
      </c>
      <c r="O99" s="478">
        <f t="shared" ref="O99" si="10">IF(N99&lt;&gt;0,+I99-N99,0)</f>
        <v>0</v>
      </c>
      <c r="P99" s="478">
        <f t="shared" ref="P99" si="11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347">
        <f>IF(F99+SUM(E$99:E99)=D$92,F99,D$92-SUM(E$99:E99))</f>
        <v>1330093</v>
      </c>
      <c r="E100" s="485">
        <f>IF(+J$96&lt;F99,J$96,D100)</f>
        <v>32814</v>
      </c>
      <c r="F100" s="486">
        <f>+D100-E100</f>
        <v>1297279</v>
      </c>
      <c r="G100" s="486">
        <f>+(F100+D100)/2</f>
        <v>1313686</v>
      </c>
      <c r="H100" s="614">
        <f t="shared" ref="H100:H154" si="12">+J$94*G100+E100</f>
        <v>168273.45246575892</v>
      </c>
      <c r="I100" s="615">
        <f t="shared" ref="I100:I154" si="13">+J$95*G100+E100</f>
        <v>168273.45246575892</v>
      </c>
      <c r="J100" s="479">
        <f t="shared" ref="J100:J130" si="14">+I100-H100</f>
        <v>0</v>
      </c>
      <c r="K100" s="479"/>
      <c r="L100" s="488"/>
      <c r="M100" s="479">
        <f t="shared" ref="M100:M130" si="15">IF(L100&lt;&gt;0,+H100-L100,0)</f>
        <v>0</v>
      </c>
      <c r="N100" s="488"/>
      <c r="O100" s="479">
        <f t="shared" ref="O100:O130" si="16">IF(N100&lt;&gt;0,+I100-N100,0)</f>
        <v>0</v>
      </c>
      <c r="P100" s="479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3">
        <f>IF(D93="","-",+C100+1)</f>
        <v>2020</v>
      </c>
      <c r="D101" s="347">
        <f>IF(F100+SUM(E$99:E100)=D$92,F100,D$92-SUM(E$99:E100))</f>
        <v>1297279</v>
      </c>
      <c r="E101" s="485">
        <f t="shared" ref="E101:E154" si="19">IF(+J$96&lt;F100,J$96,D101)</f>
        <v>32814</v>
      </c>
      <c r="F101" s="486">
        <f t="shared" ref="F101:F154" si="20">+D101-E101</f>
        <v>1264465</v>
      </c>
      <c r="G101" s="486">
        <f t="shared" ref="G101:G154" si="21">+(F101+D101)/2</f>
        <v>1280872</v>
      </c>
      <c r="H101" s="614">
        <f t="shared" si="12"/>
        <v>164889.86881394911</v>
      </c>
      <c r="I101" s="615">
        <f t="shared" si="13"/>
        <v>164889.86881394911</v>
      </c>
      <c r="J101" s="479">
        <f t="shared" si="14"/>
        <v>0</v>
      </c>
      <c r="K101" s="479"/>
      <c r="L101" s="488"/>
      <c r="M101" s="479">
        <f t="shared" si="15"/>
        <v>0</v>
      </c>
      <c r="N101" s="488"/>
      <c r="O101" s="479">
        <f t="shared" si="16"/>
        <v>0</v>
      </c>
      <c r="P101" s="479">
        <f t="shared" si="17"/>
        <v>0</v>
      </c>
    </row>
    <row r="102" spans="1:16" ht="12.5">
      <c r="B102" s="160" t="str">
        <f t="shared" si="18"/>
        <v/>
      </c>
      <c r="C102" s="473">
        <f>IF(D93="","-",+C101+1)</f>
        <v>2021</v>
      </c>
      <c r="D102" s="347">
        <f>IF(F101+SUM(E$99:E101)=D$92,F101,D$92-SUM(E$99:E101))</f>
        <v>1264465</v>
      </c>
      <c r="E102" s="485">
        <f t="shared" si="19"/>
        <v>32814</v>
      </c>
      <c r="F102" s="486">
        <f t="shared" si="20"/>
        <v>1231651</v>
      </c>
      <c r="G102" s="486">
        <f t="shared" si="21"/>
        <v>1248058</v>
      </c>
      <c r="H102" s="614">
        <f t="shared" si="12"/>
        <v>161506.28516213933</v>
      </c>
      <c r="I102" s="615">
        <f t="shared" si="13"/>
        <v>161506.28516213933</v>
      </c>
      <c r="J102" s="479">
        <f t="shared" si="14"/>
        <v>0</v>
      </c>
      <c r="K102" s="479"/>
      <c r="L102" s="488"/>
      <c r="M102" s="479">
        <f t="shared" si="15"/>
        <v>0</v>
      </c>
      <c r="N102" s="488"/>
      <c r="O102" s="479">
        <f t="shared" si="16"/>
        <v>0</v>
      </c>
      <c r="P102" s="479">
        <f t="shared" si="17"/>
        <v>0</v>
      </c>
    </row>
    <row r="103" spans="1:16" ht="12.5">
      <c r="B103" s="160" t="str">
        <f t="shared" si="18"/>
        <v/>
      </c>
      <c r="C103" s="473">
        <f>IF(D93="","-",+C102+1)</f>
        <v>2022</v>
      </c>
      <c r="D103" s="347">
        <f>IF(F102+SUM(E$99:E102)=D$92,F102,D$92-SUM(E$99:E102))</f>
        <v>1231651</v>
      </c>
      <c r="E103" s="485">
        <f t="shared" si="19"/>
        <v>32814</v>
      </c>
      <c r="F103" s="486">
        <f t="shared" si="20"/>
        <v>1198837</v>
      </c>
      <c r="G103" s="486">
        <f t="shared" si="21"/>
        <v>1215244</v>
      </c>
      <c r="H103" s="614">
        <f t="shared" si="12"/>
        <v>158122.7015103295</v>
      </c>
      <c r="I103" s="615">
        <f t="shared" si="13"/>
        <v>158122.7015103295</v>
      </c>
      <c r="J103" s="479">
        <f t="shared" si="14"/>
        <v>0</v>
      </c>
      <c r="K103" s="479"/>
      <c r="L103" s="488"/>
      <c r="M103" s="479">
        <f t="shared" si="15"/>
        <v>0</v>
      </c>
      <c r="N103" s="488"/>
      <c r="O103" s="479">
        <f t="shared" si="16"/>
        <v>0</v>
      </c>
      <c r="P103" s="479">
        <f t="shared" si="17"/>
        <v>0</v>
      </c>
    </row>
    <row r="104" spans="1:16" ht="12.5">
      <c r="B104" s="160" t="str">
        <f t="shared" si="18"/>
        <v/>
      </c>
      <c r="C104" s="473">
        <f>IF(D93="","-",+C103+1)</f>
        <v>2023</v>
      </c>
      <c r="D104" s="347">
        <f>IF(F103+SUM(E$99:E103)=D$92,F103,D$92-SUM(E$99:E103))</f>
        <v>1198837</v>
      </c>
      <c r="E104" s="485">
        <f t="shared" si="19"/>
        <v>32814</v>
      </c>
      <c r="F104" s="486">
        <f t="shared" si="20"/>
        <v>1166023</v>
      </c>
      <c r="G104" s="486">
        <f t="shared" si="21"/>
        <v>1182430</v>
      </c>
      <c r="H104" s="614">
        <f t="shared" si="12"/>
        <v>154739.11785851972</v>
      </c>
      <c r="I104" s="615">
        <f t="shared" si="13"/>
        <v>154739.11785851972</v>
      </c>
      <c r="J104" s="479">
        <f t="shared" si="14"/>
        <v>0</v>
      </c>
      <c r="K104" s="479"/>
      <c r="L104" s="488"/>
      <c r="M104" s="479">
        <f t="shared" si="15"/>
        <v>0</v>
      </c>
      <c r="N104" s="488"/>
      <c r="O104" s="479">
        <f t="shared" si="16"/>
        <v>0</v>
      </c>
      <c r="P104" s="479">
        <f t="shared" si="17"/>
        <v>0</v>
      </c>
    </row>
    <row r="105" spans="1:16" ht="12.5">
      <c r="B105" s="160" t="str">
        <f t="shared" si="18"/>
        <v/>
      </c>
      <c r="C105" s="473">
        <f>IF(D93="","-",+C104+1)</f>
        <v>2024</v>
      </c>
      <c r="D105" s="347">
        <f>IF(F104+SUM(E$99:E104)=D$92,F104,D$92-SUM(E$99:E104))</f>
        <v>1166023</v>
      </c>
      <c r="E105" s="485">
        <f t="shared" si="19"/>
        <v>32814</v>
      </c>
      <c r="F105" s="486">
        <f t="shared" si="20"/>
        <v>1133209</v>
      </c>
      <c r="G105" s="486">
        <f t="shared" si="21"/>
        <v>1149616</v>
      </c>
      <c r="H105" s="614">
        <f t="shared" si="12"/>
        <v>151355.53420670991</v>
      </c>
      <c r="I105" s="615">
        <f t="shared" si="13"/>
        <v>151355.53420670991</v>
      </c>
      <c r="J105" s="479">
        <f t="shared" si="14"/>
        <v>0</v>
      </c>
      <c r="K105" s="479"/>
      <c r="L105" s="488"/>
      <c r="M105" s="479">
        <f t="shared" si="15"/>
        <v>0</v>
      </c>
      <c r="N105" s="488"/>
      <c r="O105" s="479">
        <f t="shared" si="16"/>
        <v>0</v>
      </c>
      <c r="P105" s="479">
        <f t="shared" si="17"/>
        <v>0</v>
      </c>
    </row>
    <row r="106" spans="1:16" ht="12.5">
      <c r="B106" s="160" t="str">
        <f t="shared" si="18"/>
        <v/>
      </c>
      <c r="C106" s="473">
        <f>IF(D93="","-",+C105+1)</f>
        <v>2025</v>
      </c>
      <c r="D106" s="347">
        <f>IF(F105+SUM(E$99:E105)=D$92,F105,D$92-SUM(E$99:E105))</f>
        <v>1133209</v>
      </c>
      <c r="E106" s="485">
        <f t="shared" si="19"/>
        <v>32814</v>
      </c>
      <c r="F106" s="486">
        <f t="shared" si="20"/>
        <v>1100395</v>
      </c>
      <c r="G106" s="486">
        <f t="shared" si="21"/>
        <v>1116802</v>
      </c>
      <c r="H106" s="614">
        <f t="shared" si="12"/>
        <v>147971.9505549001</v>
      </c>
      <c r="I106" s="615">
        <f t="shared" si="13"/>
        <v>147971.9505549001</v>
      </c>
      <c r="J106" s="479">
        <f t="shared" si="14"/>
        <v>0</v>
      </c>
      <c r="K106" s="479"/>
      <c r="L106" s="488"/>
      <c r="M106" s="479">
        <f t="shared" si="15"/>
        <v>0</v>
      </c>
      <c r="N106" s="488"/>
      <c r="O106" s="479">
        <f t="shared" si="16"/>
        <v>0</v>
      </c>
      <c r="P106" s="479">
        <f t="shared" si="17"/>
        <v>0</v>
      </c>
    </row>
    <row r="107" spans="1:16" ht="12.5">
      <c r="B107" s="160" t="str">
        <f t="shared" si="18"/>
        <v/>
      </c>
      <c r="C107" s="473">
        <f>IF(D93="","-",+C106+1)</f>
        <v>2026</v>
      </c>
      <c r="D107" s="347">
        <f>IF(F106+SUM(E$99:E106)=D$92,F106,D$92-SUM(E$99:E106))</f>
        <v>1100395</v>
      </c>
      <c r="E107" s="485">
        <f t="shared" si="19"/>
        <v>32814</v>
      </c>
      <c r="F107" s="486">
        <f t="shared" si="20"/>
        <v>1067581</v>
      </c>
      <c r="G107" s="486">
        <f t="shared" si="21"/>
        <v>1083988</v>
      </c>
      <c r="H107" s="614">
        <f t="shared" si="12"/>
        <v>144588.3669030903</v>
      </c>
      <c r="I107" s="615">
        <f t="shared" si="13"/>
        <v>144588.3669030903</v>
      </c>
      <c r="J107" s="479">
        <f t="shared" si="14"/>
        <v>0</v>
      </c>
      <c r="K107" s="479"/>
      <c r="L107" s="488"/>
      <c r="M107" s="479">
        <f t="shared" si="15"/>
        <v>0</v>
      </c>
      <c r="N107" s="488"/>
      <c r="O107" s="479">
        <f t="shared" si="16"/>
        <v>0</v>
      </c>
      <c r="P107" s="479">
        <f t="shared" si="17"/>
        <v>0</v>
      </c>
    </row>
    <row r="108" spans="1:16" ht="12.5">
      <c r="B108" s="160" t="str">
        <f t="shared" si="18"/>
        <v/>
      </c>
      <c r="C108" s="473">
        <f>IF(D93="","-",+C107+1)</f>
        <v>2027</v>
      </c>
      <c r="D108" s="347">
        <f>IF(F107+SUM(E$99:E107)=D$92,F107,D$92-SUM(E$99:E107))</f>
        <v>1067581</v>
      </c>
      <c r="E108" s="485">
        <f t="shared" si="19"/>
        <v>32814</v>
      </c>
      <c r="F108" s="486">
        <f t="shared" si="20"/>
        <v>1034767</v>
      </c>
      <c r="G108" s="486">
        <f t="shared" si="21"/>
        <v>1051174</v>
      </c>
      <c r="H108" s="614">
        <f t="shared" si="12"/>
        <v>141204.78325128049</v>
      </c>
      <c r="I108" s="615">
        <f t="shared" si="13"/>
        <v>141204.78325128049</v>
      </c>
      <c r="J108" s="479">
        <f t="shared" si="14"/>
        <v>0</v>
      </c>
      <c r="K108" s="479"/>
      <c r="L108" s="488"/>
      <c r="M108" s="479">
        <f t="shared" si="15"/>
        <v>0</v>
      </c>
      <c r="N108" s="488"/>
      <c r="O108" s="479">
        <f t="shared" si="16"/>
        <v>0</v>
      </c>
      <c r="P108" s="479">
        <f t="shared" si="17"/>
        <v>0</v>
      </c>
    </row>
    <row r="109" spans="1:16" ht="12.5">
      <c r="B109" s="160" t="str">
        <f t="shared" si="18"/>
        <v/>
      </c>
      <c r="C109" s="473">
        <f>IF(D93="","-",+C108+1)</f>
        <v>2028</v>
      </c>
      <c r="D109" s="347">
        <f>IF(F108+SUM(E$99:E108)=D$92,F108,D$92-SUM(E$99:E108))</f>
        <v>1034767</v>
      </c>
      <c r="E109" s="485">
        <f t="shared" si="19"/>
        <v>32814</v>
      </c>
      <c r="F109" s="486">
        <f t="shared" si="20"/>
        <v>1001953</v>
      </c>
      <c r="G109" s="486">
        <f t="shared" si="21"/>
        <v>1018360</v>
      </c>
      <c r="H109" s="614">
        <f t="shared" si="12"/>
        <v>137821.19959947071</v>
      </c>
      <c r="I109" s="615">
        <f t="shared" si="13"/>
        <v>137821.19959947071</v>
      </c>
      <c r="J109" s="479">
        <f t="shared" si="14"/>
        <v>0</v>
      </c>
      <c r="K109" s="479"/>
      <c r="L109" s="488"/>
      <c r="M109" s="479">
        <f t="shared" si="15"/>
        <v>0</v>
      </c>
      <c r="N109" s="488"/>
      <c r="O109" s="479">
        <f t="shared" si="16"/>
        <v>0</v>
      </c>
      <c r="P109" s="479">
        <f t="shared" si="17"/>
        <v>0</v>
      </c>
    </row>
    <row r="110" spans="1:16" ht="12.5">
      <c r="B110" s="160" t="str">
        <f t="shared" si="18"/>
        <v/>
      </c>
      <c r="C110" s="473">
        <f>IF(D93="","-",+C109+1)</f>
        <v>2029</v>
      </c>
      <c r="D110" s="347">
        <f>IF(F109+SUM(E$99:E109)=D$92,F109,D$92-SUM(E$99:E109))</f>
        <v>1001953</v>
      </c>
      <c r="E110" s="485">
        <f t="shared" si="19"/>
        <v>32814</v>
      </c>
      <c r="F110" s="486">
        <f t="shared" si="20"/>
        <v>969139</v>
      </c>
      <c r="G110" s="486">
        <f t="shared" si="21"/>
        <v>985546</v>
      </c>
      <c r="H110" s="614">
        <f t="shared" si="12"/>
        <v>134437.61594766087</v>
      </c>
      <c r="I110" s="615">
        <f t="shared" si="13"/>
        <v>134437.61594766087</v>
      </c>
      <c r="J110" s="479">
        <f t="shared" si="14"/>
        <v>0</v>
      </c>
      <c r="K110" s="479"/>
      <c r="L110" s="488"/>
      <c r="M110" s="479">
        <f t="shared" si="15"/>
        <v>0</v>
      </c>
      <c r="N110" s="488"/>
      <c r="O110" s="479">
        <f t="shared" si="16"/>
        <v>0</v>
      </c>
      <c r="P110" s="479">
        <f t="shared" si="17"/>
        <v>0</v>
      </c>
    </row>
    <row r="111" spans="1:16" ht="12.5">
      <c r="B111" s="160" t="str">
        <f t="shared" si="18"/>
        <v/>
      </c>
      <c r="C111" s="473">
        <f>IF(D93="","-",+C110+1)</f>
        <v>2030</v>
      </c>
      <c r="D111" s="347">
        <f>IF(F110+SUM(E$99:E110)=D$92,F110,D$92-SUM(E$99:E110))</f>
        <v>969139</v>
      </c>
      <c r="E111" s="485">
        <f t="shared" si="19"/>
        <v>32814</v>
      </c>
      <c r="F111" s="486">
        <f t="shared" si="20"/>
        <v>936325</v>
      </c>
      <c r="G111" s="486">
        <f t="shared" si="21"/>
        <v>952732</v>
      </c>
      <c r="H111" s="614">
        <f t="shared" si="12"/>
        <v>131054.03229585108</v>
      </c>
      <c r="I111" s="615">
        <f t="shared" si="13"/>
        <v>131054.03229585108</v>
      </c>
      <c r="J111" s="479">
        <f t="shared" si="14"/>
        <v>0</v>
      </c>
      <c r="K111" s="479"/>
      <c r="L111" s="488"/>
      <c r="M111" s="479">
        <f t="shared" si="15"/>
        <v>0</v>
      </c>
      <c r="N111" s="488"/>
      <c r="O111" s="479">
        <f t="shared" si="16"/>
        <v>0</v>
      </c>
      <c r="P111" s="479">
        <f t="shared" si="17"/>
        <v>0</v>
      </c>
    </row>
    <row r="112" spans="1:16" ht="12.5">
      <c r="B112" s="160" t="str">
        <f t="shared" si="18"/>
        <v/>
      </c>
      <c r="C112" s="473">
        <f>IF(D93="","-",+C111+1)</f>
        <v>2031</v>
      </c>
      <c r="D112" s="347">
        <f>IF(F111+SUM(E$99:E111)=D$92,F111,D$92-SUM(E$99:E111))</f>
        <v>936325</v>
      </c>
      <c r="E112" s="485">
        <f t="shared" si="19"/>
        <v>32814</v>
      </c>
      <c r="F112" s="486">
        <f t="shared" si="20"/>
        <v>903511</v>
      </c>
      <c r="G112" s="486">
        <f t="shared" si="21"/>
        <v>919918</v>
      </c>
      <c r="H112" s="614">
        <f t="shared" si="12"/>
        <v>127670.44864404129</v>
      </c>
      <c r="I112" s="615">
        <f t="shared" si="13"/>
        <v>127670.44864404129</v>
      </c>
      <c r="J112" s="479">
        <f t="shared" si="14"/>
        <v>0</v>
      </c>
      <c r="K112" s="479"/>
      <c r="L112" s="488"/>
      <c r="M112" s="479">
        <f t="shared" si="15"/>
        <v>0</v>
      </c>
      <c r="N112" s="488"/>
      <c r="O112" s="479">
        <f t="shared" si="16"/>
        <v>0</v>
      </c>
      <c r="P112" s="479">
        <f t="shared" si="17"/>
        <v>0</v>
      </c>
    </row>
    <row r="113" spans="2:16" ht="12.5">
      <c r="B113" s="160" t="str">
        <f t="shared" si="18"/>
        <v/>
      </c>
      <c r="C113" s="473">
        <f>IF(D93="","-",+C112+1)</f>
        <v>2032</v>
      </c>
      <c r="D113" s="347">
        <f>IF(F112+SUM(E$99:E112)=D$92,F112,D$92-SUM(E$99:E112))</f>
        <v>903511</v>
      </c>
      <c r="E113" s="485">
        <f t="shared" si="19"/>
        <v>32814</v>
      </c>
      <c r="F113" s="486">
        <f t="shared" si="20"/>
        <v>870697</v>
      </c>
      <c r="G113" s="486">
        <f t="shared" si="21"/>
        <v>887104</v>
      </c>
      <c r="H113" s="614">
        <f t="shared" si="12"/>
        <v>124286.86499223148</v>
      </c>
      <c r="I113" s="615">
        <f t="shared" si="13"/>
        <v>124286.86499223148</v>
      </c>
      <c r="J113" s="479">
        <f t="shared" si="14"/>
        <v>0</v>
      </c>
      <c r="K113" s="479"/>
      <c r="L113" s="488"/>
      <c r="M113" s="479">
        <f t="shared" si="15"/>
        <v>0</v>
      </c>
      <c r="N113" s="488"/>
      <c r="O113" s="479">
        <f t="shared" si="16"/>
        <v>0</v>
      </c>
      <c r="P113" s="479">
        <f t="shared" si="17"/>
        <v>0</v>
      </c>
    </row>
    <row r="114" spans="2:16" ht="12.5">
      <c r="B114" s="160" t="str">
        <f t="shared" si="18"/>
        <v/>
      </c>
      <c r="C114" s="473">
        <f>IF(D93="","-",+C113+1)</f>
        <v>2033</v>
      </c>
      <c r="D114" s="347">
        <f>IF(F113+SUM(E$99:E113)=D$92,F113,D$92-SUM(E$99:E113))</f>
        <v>870697</v>
      </c>
      <c r="E114" s="485">
        <f t="shared" si="19"/>
        <v>32814</v>
      </c>
      <c r="F114" s="486">
        <f t="shared" si="20"/>
        <v>837883</v>
      </c>
      <c r="G114" s="486">
        <f t="shared" si="21"/>
        <v>854290</v>
      </c>
      <c r="H114" s="614">
        <f t="shared" si="12"/>
        <v>120903.28134042167</v>
      </c>
      <c r="I114" s="615">
        <f t="shared" si="13"/>
        <v>120903.28134042167</v>
      </c>
      <c r="J114" s="479">
        <f t="shared" si="14"/>
        <v>0</v>
      </c>
      <c r="K114" s="479"/>
      <c r="L114" s="488"/>
      <c r="M114" s="479">
        <f t="shared" si="15"/>
        <v>0</v>
      </c>
      <c r="N114" s="488"/>
      <c r="O114" s="479">
        <f t="shared" si="16"/>
        <v>0</v>
      </c>
      <c r="P114" s="479">
        <f t="shared" si="17"/>
        <v>0</v>
      </c>
    </row>
    <row r="115" spans="2:16" ht="12.5">
      <c r="B115" s="160" t="str">
        <f t="shared" si="18"/>
        <v/>
      </c>
      <c r="C115" s="473">
        <f>IF(D93="","-",+C114+1)</f>
        <v>2034</v>
      </c>
      <c r="D115" s="347">
        <f>IF(F114+SUM(E$99:E114)=D$92,F114,D$92-SUM(E$99:E114))</f>
        <v>837883</v>
      </c>
      <c r="E115" s="485">
        <f t="shared" si="19"/>
        <v>32814</v>
      </c>
      <c r="F115" s="486">
        <f t="shared" si="20"/>
        <v>805069</v>
      </c>
      <c r="G115" s="486">
        <f t="shared" si="21"/>
        <v>821476</v>
      </c>
      <c r="H115" s="614">
        <f t="shared" si="12"/>
        <v>117519.69768861188</v>
      </c>
      <c r="I115" s="615">
        <f t="shared" si="13"/>
        <v>117519.69768861188</v>
      </c>
      <c r="J115" s="479">
        <f t="shared" si="14"/>
        <v>0</v>
      </c>
      <c r="K115" s="479"/>
      <c r="L115" s="488"/>
      <c r="M115" s="479">
        <f t="shared" si="15"/>
        <v>0</v>
      </c>
      <c r="N115" s="488"/>
      <c r="O115" s="479">
        <f t="shared" si="16"/>
        <v>0</v>
      </c>
      <c r="P115" s="479">
        <f t="shared" si="17"/>
        <v>0</v>
      </c>
    </row>
    <row r="116" spans="2:16" ht="12.5">
      <c r="B116" s="160" t="str">
        <f t="shared" si="18"/>
        <v/>
      </c>
      <c r="C116" s="473">
        <f>IF(D93="","-",+C115+1)</f>
        <v>2035</v>
      </c>
      <c r="D116" s="347">
        <f>IF(F115+SUM(E$99:E115)=D$92,F115,D$92-SUM(E$99:E115))</f>
        <v>805069</v>
      </c>
      <c r="E116" s="485">
        <f t="shared" si="19"/>
        <v>32814</v>
      </c>
      <c r="F116" s="486">
        <f t="shared" si="20"/>
        <v>772255</v>
      </c>
      <c r="G116" s="486">
        <f t="shared" si="21"/>
        <v>788662</v>
      </c>
      <c r="H116" s="614">
        <f t="shared" si="12"/>
        <v>114136.11403680207</v>
      </c>
      <c r="I116" s="615">
        <f t="shared" si="13"/>
        <v>114136.11403680207</v>
      </c>
      <c r="J116" s="479">
        <f t="shared" si="14"/>
        <v>0</v>
      </c>
      <c r="K116" s="479"/>
      <c r="L116" s="488"/>
      <c r="M116" s="479">
        <f t="shared" si="15"/>
        <v>0</v>
      </c>
      <c r="N116" s="488"/>
      <c r="O116" s="479">
        <f t="shared" si="16"/>
        <v>0</v>
      </c>
      <c r="P116" s="479">
        <f t="shared" si="17"/>
        <v>0</v>
      </c>
    </row>
    <row r="117" spans="2:16" ht="12.5">
      <c r="B117" s="160" t="str">
        <f t="shared" si="18"/>
        <v/>
      </c>
      <c r="C117" s="473">
        <f>IF(D93="","-",+C116+1)</f>
        <v>2036</v>
      </c>
      <c r="D117" s="347">
        <f>IF(F116+SUM(E$99:E116)=D$92,F116,D$92-SUM(E$99:E116))</f>
        <v>772255</v>
      </c>
      <c r="E117" s="485">
        <f t="shared" si="19"/>
        <v>32814</v>
      </c>
      <c r="F117" s="486">
        <f t="shared" si="20"/>
        <v>739441</v>
      </c>
      <c r="G117" s="486">
        <f t="shared" si="21"/>
        <v>755848</v>
      </c>
      <c r="H117" s="614">
        <f t="shared" si="12"/>
        <v>110752.53038499226</v>
      </c>
      <c r="I117" s="615">
        <f t="shared" si="13"/>
        <v>110752.53038499226</v>
      </c>
      <c r="J117" s="479">
        <f t="shared" si="14"/>
        <v>0</v>
      </c>
      <c r="K117" s="479"/>
      <c r="L117" s="488"/>
      <c r="M117" s="479">
        <f t="shared" si="15"/>
        <v>0</v>
      </c>
      <c r="N117" s="488"/>
      <c r="O117" s="479">
        <f t="shared" si="16"/>
        <v>0</v>
      </c>
      <c r="P117" s="479">
        <f t="shared" si="17"/>
        <v>0</v>
      </c>
    </row>
    <row r="118" spans="2:16" ht="12.5">
      <c r="B118" s="160" t="str">
        <f t="shared" si="18"/>
        <v/>
      </c>
      <c r="C118" s="473">
        <f>IF(D93="","-",+C117+1)</f>
        <v>2037</v>
      </c>
      <c r="D118" s="347">
        <f>IF(F117+SUM(E$99:E117)=D$92,F117,D$92-SUM(E$99:E117))</f>
        <v>739441</v>
      </c>
      <c r="E118" s="485">
        <f t="shared" si="19"/>
        <v>32814</v>
      </c>
      <c r="F118" s="486">
        <f t="shared" si="20"/>
        <v>706627</v>
      </c>
      <c r="G118" s="486">
        <f t="shared" si="21"/>
        <v>723034</v>
      </c>
      <c r="H118" s="614">
        <f t="shared" si="12"/>
        <v>107368.94673318246</v>
      </c>
      <c r="I118" s="615">
        <f t="shared" si="13"/>
        <v>107368.94673318246</v>
      </c>
      <c r="J118" s="479">
        <f t="shared" si="14"/>
        <v>0</v>
      </c>
      <c r="K118" s="479"/>
      <c r="L118" s="488"/>
      <c r="M118" s="479">
        <f t="shared" si="15"/>
        <v>0</v>
      </c>
      <c r="N118" s="488"/>
      <c r="O118" s="479">
        <f t="shared" si="16"/>
        <v>0</v>
      </c>
      <c r="P118" s="479">
        <f t="shared" si="17"/>
        <v>0</v>
      </c>
    </row>
    <row r="119" spans="2:16" ht="12.5">
      <c r="B119" s="160" t="str">
        <f t="shared" si="18"/>
        <v/>
      </c>
      <c r="C119" s="473">
        <f>IF(D93="","-",+C118+1)</f>
        <v>2038</v>
      </c>
      <c r="D119" s="347">
        <f>IF(F118+SUM(E$99:E118)=D$92,F118,D$92-SUM(E$99:E118))</f>
        <v>706627</v>
      </c>
      <c r="E119" s="485">
        <f t="shared" si="19"/>
        <v>32814</v>
      </c>
      <c r="F119" s="486">
        <f t="shared" si="20"/>
        <v>673813</v>
      </c>
      <c r="G119" s="486">
        <f t="shared" si="21"/>
        <v>690220</v>
      </c>
      <c r="H119" s="614">
        <f t="shared" si="12"/>
        <v>103985.36308137266</v>
      </c>
      <c r="I119" s="615">
        <f t="shared" si="13"/>
        <v>103985.36308137266</v>
      </c>
      <c r="J119" s="479">
        <f t="shared" si="14"/>
        <v>0</v>
      </c>
      <c r="K119" s="479"/>
      <c r="L119" s="488"/>
      <c r="M119" s="479">
        <f t="shared" si="15"/>
        <v>0</v>
      </c>
      <c r="N119" s="488"/>
      <c r="O119" s="479">
        <f t="shared" si="16"/>
        <v>0</v>
      </c>
      <c r="P119" s="479">
        <f t="shared" si="17"/>
        <v>0</v>
      </c>
    </row>
    <row r="120" spans="2:16" ht="12.5">
      <c r="B120" s="160" t="str">
        <f t="shared" si="18"/>
        <v/>
      </c>
      <c r="C120" s="473">
        <f>IF(D93="","-",+C119+1)</f>
        <v>2039</v>
      </c>
      <c r="D120" s="347">
        <f>IF(F119+SUM(E$99:E119)=D$92,F119,D$92-SUM(E$99:E119))</f>
        <v>673813</v>
      </c>
      <c r="E120" s="485">
        <f t="shared" si="19"/>
        <v>32814</v>
      </c>
      <c r="F120" s="486">
        <f t="shared" si="20"/>
        <v>640999</v>
      </c>
      <c r="G120" s="486">
        <f t="shared" si="21"/>
        <v>657406</v>
      </c>
      <c r="H120" s="614">
        <f t="shared" si="12"/>
        <v>100601.77942956286</v>
      </c>
      <c r="I120" s="615">
        <f t="shared" si="13"/>
        <v>100601.77942956286</v>
      </c>
      <c r="J120" s="479">
        <f t="shared" si="14"/>
        <v>0</v>
      </c>
      <c r="K120" s="479"/>
      <c r="L120" s="488"/>
      <c r="M120" s="479">
        <f t="shared" si="15"/>
        <v>0</v>
      </c>
      <c r="N120" s="488"/>
      <c r="O120" s="479">
        <f t="shared" si="16"/>
        <v>0</v>
      </c>
      <c r="P120" s="479">
        <f t="shared" si="17"/>
        <v>0</v>
      </c>
    </row>
    <row r="121" spans="2:16" ht="12.5">
      <c r="B121" s="160" t="str">
        <f t="shared" si="18"/>
        <v/>
      </c>
      <c r="C121" s="473">
        <f>IF(D93="","-",+C120+1)</f>
        <v>2040</v>
      </c>
      <c r="D121" s="347">
        <f>IF(F120+SUM(E$99:E120)=D$92,F120,D$92-SUM(E$99:E120))</f>
        <v>640999</v>
      </c>
      <c r="E121" s="485">
        <f t="shared" si="19"/>
        <v>32814</v>
      </c>
      <c r="F121" s="486">
        <f t="shared" si="20"/>
        <v>608185</v>
      </c>
      <c r="G121" s="486">
        <f t="shared" si="21"/>
        <v>624592</v>
      </c>
      <c r="H121" s="614">
        <f t="shared" si="12"/>
        <v>97218.195777753048</v>
      </c>
      <c r="I121" s="615">
        <f t="shared" si="13"/>
        <v>97218.195777753048</v>
      </c>
      <c r="J121" s="479">
        <f t="shared" si="14"/>
        <v>0</v>
      </c>
      <c r="K121" s="479"/>
      <c r="L121" s="488"/>
      <c r="M121" s="479">
        <f t="shared" si="15"/>
        <v>0</v>
      </c>
      <c r="N121" s="488"/>
      <c r="O121" s="479">
        <f t="shared" si="16"/>
        <v>0</v>
      </c>
      <c r="P121" s="479">
        <f t="shared" si="17"/>
        <v>0</v>
      </c>
    </row>
    <row r="122" spans="2:16" ht="12.5">
      <c r="B122" s="160" t="str">
        <f t="shared" si="18"/>
        <v/>
      </c>
      <c r="C122" s="473">
        <f>IF(D93="","-",+C121+1)</f>
        <v>2041</v>
      </c>
      <c r="D122" s="347">
        <f>IF(F121+SUM(E$99:E121)=D$92,F121,D$92-SUM(E$99:E121))</f>
        <v>608185</v>
      </c>
      <c r="E122" s="485">
        <f t="shared" si="19"/>
        <v>32814</v>
      </c>
      <c r="F122" s="486">
        <f t="shared" si="20"/>
        <v>575371</v>
      </c>
      <c r="G122" s="486">
        <f t="shared" si="21"/>
        <v>591778</v>
      </c>
      <c r="H122" s="614">
        <f t="shared" si="12"/>
        <v>93834.61212594324</v>
      </c>
      <c r="I122" s="615">
        <f t="shared" si="13"/>
        <v>93834.61212594324</v>
      </c>
      <c r="J122" s="479">
        <f t="shared" si="14"/>
        <v>0</v>
      </c>
      <c r="K122" s="479"/>
      <c r="L122" s="488"/>
      <c r="M122" s="479">
        <f t="shared" si="15"/>
        <v>0</v>
      </c>
      <c r="N122" s="488"/>
      <c r="O122" s="479">
        <f t="shared" si="16"/>
        <v>0</v>
      </c>
      <c r="P122" s="479">
        <f t="shared" si="17"/>
        <v>0</v>
      </c>
    </row>
    <row r="123" spans="2:16" ht="12.5">
      <c r="B123" s="160" t="str">
        <f t="shared" si="18"/>
        <v/>
      </c>
      <c r="C123" s="473">
        <f>IF(D93="","-",+C122+1)</f>
        <v>2042</v>
      </c>
      <c r="D123" s="347">
        <f>IF(F122+SUM(E$99:E122)=D$92,F122,D$92-SUM(E$99:E122))</f>
        <v>575371</v>
      </c>
      <c r="E123" s="485">
        <f t="shared" si="19"/>
        <v>32814</v>
      </c>
      <c r="F123" s="486">
        <f t="shared" si="20"/>
        <v>542557</v>
      </c>
      <c r="G123" s="486">
        <f t="shared" si="21"/>
        <v>558964</v>
      </c>
      <c r="H123" s="614">
        <f t="shared" si="12"/>
        <v>90451.028474133447</v>
      </c>
      <c r="I123" s="615">
        <f t="shared" si="13"/>
        <v>90451.028474133447</v>
      </c>
      <c r="J123" s="479">
        <f t="shared" si="14"/>
        <v>0</v>
      </c>
      <c r="K123" s="479"/>
      <c r="L123" s="488"/>
      <c r="M123" s="479">
        <f t="shared" si="15"/>
        <v>0</v>
      </c>
      <c r="N123" s="488"/>
      <c r="O123" s="479">
        <f t="shared" si="16"/>
        <v>0</v>
      </c>
      <c r="P123" s="479">
        <f t="shared" si="17"/>
        <v>0</v>
      </c>
    </row>
    <row r="124" spans="2:16" ht="12.5">
      <c r="B124" s="160" t="str">
        <f t="shared" si="18"/>
        <v/>
      </c>
      <c r="C124" s="473">
        <f>IF(D93="","-",+C123+1)</f>
        <v>2043</v>
      </c>
      <c r="D124" s="347">
        <f>IF(F123+SUM(E$99:E123)=D$92,F123,D$92-SUM(E$99:E123))</f>
        <v>542557</v>
      </c>
      <c r="E124" s="485">
        <f t="shared" si="19"/>
        <v>32814</v>
      </c>
      <c r="F124" s="486">
        <f t="shared" si="20"/>
        <v>509743</v>
      </c>
      <c r="G124" s="486">
        <f t="shared" si="21"/>
        <v>526150</v>
      </c>
      <c r="H124" s="614">
        <f t="shared" si="12"/>
        <v>87067.44482232364</v>
      </c>
      <c r="I124" s="615">
        <f t="shared" si="13"/>
        <v>87067.44482232364</v>
      </c>
      <c r="J124" s="479">
        <f t="shared" si="14"/>
        <v>0</v>
      </c>
      <c r="K124" s="479"/>
      <c r="L124" s="488"/>
      <c r="M124" s="479">
        <f t="shared" si="15"/>
        <v>0</v>
      </c>
      <c r="N124" s="488"/>
      <c r="O124" s="479">
        <f t="shared" si="16"/>
        <v>0</v>
      </c>
      <c r="P124" s="479">
        <f t="shared" si="17"/>
        <v>0</v>
      </c>
    </row>
    <row r="125" spans="2:16" ht="12.5">
      <c r="B125" s="160" t="str">
        <f t="shared" si="18"/>
        <v/>
      </c>
      <c r="C125" s="473">
        <f>IF(D93="","-",+C124+1)</f>
        <v>2044</v>
      </c>
      <c r="D125" s="347">
        <f>IF(F124+SUM(E$99:E124)=D$92,F124,D$92-SUM(E$99:E124))</f>
        <v>509743</v>
      </c>
      <c r="E125" s="485">
        <f t="shared" si="19"/>
        <v>32814</v>
      </c>
      <c r="F125" s="486">
        <f t="shared" si="20"/>
        <v>476929</v>
      </c>
      <c r="G125" s="486">
        <f t="shared" si="21"/>
        <v>493336</v>
      </c>
      <c r="H125" s="614">
        <f t="shared" si="12"/>
        <v>83683.861170513846</v>
      </c>
      <c r="I125" s="615">
        <f t="shared" si="13"/>
        <v>83683.861170513846</v>
      </c>
      <c r="J125" s="479">
        <f t="shared" si="14"/>
        <v>0</v>
      </c>
      <c r="K125" s="479"/>
      <c r="L125" s="488"/>
      <c r="M125" s="479">
        <f t="shared" si="15"/>
        <v>0</v>
      </c>
      <c r="N125" s="488"/>
      <c r="O125" s="479">
        <f t="shared" si="16"/>
        <v>0</v>
      </c>
      <c r="P125" s="479">
        <f t="shared" si="17"/>
        <v>0</v>
      </c>
    </row>
    <row r="126" spans="2:16" ht="12.5">
      <c r="B126" s="160" t="str">
        <f t="shared" si="18"/>
        <v/>
      </c>
      <c r="C126" s="473">
        <f>IF(D93="","-",+C125+1)</f>
        <v>2045</v>
      </c>
      <c r="D126" s="347">
        <f>IF(F125+SUM(E$99:E125)=D$92,F125,D$92-SUM(E$99:E125))</f>
        <v>476929</v>
      </c>
      <c r="E126" s="485">
        <f t="shared" si="19"/>
        <v>32814</v>
      </c>
      <c r="F126" s="486">
        <f t="shared" si="20"/>
        <v>444115</v>
      </c>
      <c r="G126" s="486">
        <f t="shared" si="21"/>
        <v>460522</v>
      </c>
      <c r="H126" s="614">
        <f t="shared" si="12"/>
        <v>80300.277518704039</v>
      </c>
      <c r="I126" s="615">
        <f t="shared" si="13"/>
        <v>80300.277518704039</v>
      </c>
      <c r="J126" s="479">
        <f t="shared" si="14"/>
        <v>0</v>
      </c>
      <c r="K126" s="479"/>
      <c r="L126" s="488"/>
      <c r="M126" s="479">
        <f t="shared" si="15"/>
        <v>0</v>
      </c>
      <c r="N126" s="488"/>
      <c r="O126" s="479">
        <f t="shared" si="16"/>
        <v>0</v>
      </c>
      <c r="P126" s="479">
        <f t="shared" si="17"/>
        <v>0</v>
      </c>
    </row>
    <row r="127" spans="2:16" ht="12.5">
      <c r="B127" s="160" t="str">
        <f t="shared" si="18"/>
        <v/>
      </c>
      <c r="C127" s="473">
        <f>IF(D93="","-",+C126+1)</f>
        <v>2046</v>
      </c>
      <c r="D127" s="347">
        <f>IF(F126+SUM(E$99:E126)=D$92,F126,D$92-SUM(E$99:E126))</f>
        <v>444115</v>
      </c>
      <c r="E127" s="485">
        <f t="shared" si="19"/>
        <v>32814</v>
      </c>
      <c r="F127" s="486">
        <f t="shared" si="20"/>
        <v>411301</v>
      </c>
      <c r="G127" s="486">
        <f t="shared" si="21"/>
        <v>427708</v>
      </c>
      <c r="H127" s="614">
        <f t="shared" si="12"/>
        <v>76916.693866894231</v>
      </c>
      <c r="I127" s="615">
        <f t="shared" si="13"/>
        <v>76916.693866894231</v>
      </c>
      <c r="J127" s="479">
        <f t="shared" si="14"/>
        <v>0</v>
      </c>
      <c r="K127" s="479"/>
      <c r="L127" s="488"/>
      <c r="M127" s="479">
        <f t="shared" si="15"/>
        <v>0</v>
      </c>
      <c r="N127" s="488"/>
      <c r="O127" s="479">
        <f t="shared" si="16"/>
        <v>0</v>
      </c>
      <c r="P127" s="479">
        <f t="shared" si="17"/>
        <v>0</v>
      </c>
    </row>
    <row r="128" spans="2:16" ht="12.5">
      <c r="B128" s="160" t="str">
        <f t="shared" si="18"/>
        <v/>
      </c>
      <c r="C128" s="473">
        <f>IF(D93="","-",+C127+1)</f>
        <v>2047</v>
      </c>
      <c r="D128" s="347">
        <f>IF(F127+SUM(E$99:E127)=D$92,F127,D$92-SUM(E$99:E127))</f>
        <v>411301</v>
      </c>
      <c r="E128" s="485">
        <f t="shared" si="19"/>
        <v>32814</v>
      </c>
      <c r="F128" s="486">
        <f t="shared" si="20"/>
        <v>378487</v>
      </c>
      <c r="G128" s="486">
        <f t="shared" si="21"/>
        <v>394894</v>
      </c>
      <c r="H128" s="614">
        <f t="shared" si="12"/>
        <v>73533.110215084424</v>
      </c>
      <c r="I128" s="615">
        <f t="shared" si="13"/>
        <v>73533.110215084424</v>
      </c>
      <c r="J128" s="479">
        <f t="shared" si="14"/>
        <v>0</v>
      </c>
      <c r="K128" s="479"/>
      <c r="L128" s="488"/>
      <c r="M128" s="479">
        <f t="shared" si="15"/>
        <v>0</v>
      </c>
      <c r="N128" s="488"/>
      <c r="O128" s="479">
        <f t="shared" si="16"/>
        <v>0</v>
      </c>
      <c r="P128" s="479">
        <f t="shared" si="17"/>
        <v>0</v>
      </c>
    </row>
    <row r="129" spans="2:16" ht="12.5">
      <c r="B129" s="160" t="str">
        <f t="shared" si="18"/>
        <v/>
      </c>
      <c r="C129" s="473">
        <f>IF(D93="","-",+C128+1)</f>
        <v>2048</v>
      </c>
      <c r="D129" s="347">
        <f>IF(F128+SUM(E$99:E128)=D$92,F128,D$92-SUM(E$99:E128))</f>
        <v>378487</v>
      </c>
      <c r="E129" s="485">
        <f t="shared" si="19"/>
        <v>32814</v>
      </c>
      <c r="F129" s="486">
        <f t="shared" si="20"/>
        <v>345673</v>
      </c>
      <c r="G129" s="486">
        <f t="shared" si="21"/>
        <v>362080</v>
      </c>
      <c r="H129" s="614">
        <f t="shared" si="12"/>
        <v>70149.526563274616</v>
      </c>
      <c r="I129" s="615">
        <f t="shared" si="13"/>
        <v>70149.526563274616</v>
      </c>
      <c r="J129" s="479">
        <f t="shared" si="14"/>
        <v>0</v>
      </c>
      <c r="K129" s="479"/>
      <c r="L129" s="488"/>
      <c r="M129" s="479">
        <f t="shared" si="15"/>
        <v>0</v>
      </c>
      <c r="N129" s="488"/>
      <c r="O129" s="479">
        <f t="shared" si="16"/>
        <v>0</v>
      </c>
      <c r="P129" s="479">
        <f t="shared" si="17"/>
        <v>0</v>
      </c>
    </row>
    <row r="130" spans="2:16" ht="12.5">
      <c r="B130" s="160" t="str">
        <f t="shared" si="18"/>
        <v/>
      </c>
      <c r="C130" s="473">
        <f>IF(D93="","-",+C129+1)</f>
        <v>2049</v>
      </c>
      <c r="D130" s="347">
        <f>IF(F129+SUM(E$99:E129)=D$92,F129,D$92-SUM(E$99:E129))</f>
        <v>345673</v>
      </c>
      <c r="E130" s="485">
        <f t="shared" si="19"/>
        <v>32814</v>
      </c>
      <c r="F130" s="486">
        <f t="shared" si="20"/>
        <v>312859</v>
      </c>
      <c r="G130" s="486">
        <f t="shared" si="21"/>
        <v>329266</v>
      </c>
      <c r="H130" s="614">
        <f t="shared" si="12"/>
        <v>66765.942911464823</v>
      </c>
      <c r="I130" s="615">
        <f t="shared" si="13"/>
        <v>66765.942911464823</v>
      </c>
      <c r="J130" s="479">
        <f t="shared" si="14"/>
        <v>0</v>
      </c>
      <c r="K130" s="479"/>
      <c r="L130" s="488"/>
      <c r="M130" s="479">
        <f t="shared" si="15"/>
        <v>0</v>
      </c>
      <c r="N130" s="488"/>
      <c r="O130" s="479">
        <f t="shared" si="16"/>
        <v>0</v>
      </c>
      <c r="P130" s="479">
        <f t="shared" si="17"/>
        <v>0</v>
      </c>
    </row>
    <row r="131" spans="2:16" ht="12.5">
      <c r="B131" s="160" t="str">
        <f t="shared" si="18"/>
        <v/>
      </c>
      <c r="C131" s="473">
        <f>IF(D93="","-",+C130+1)</f>
        <v>2050</v>
      </c>
      <c r="D131" s="347">
        <f>IF(F130+SUM(E$99:E130)=D$92,F130,D$92-SUM(E$99:E130))</f>
        <v>312859</v>
      </c>
      <c r="E131" s="485">
        <f t="shared" si="19"/>
        <v>32814</v>
      </c>
      <c r="F131" s="486">
        <f t="shared" si="20"/>
        <v>280045</v>
      </c>
      <c r="G131" s="486">
        <f t="shared" si="21"/>
        <v>296452</v>
      </c>
      <c r="H131" s="614">
        <f t="shared" si="12"/>
        <v>63382.359259655015</v>
      </c>
      <c r="I131" s="615">
        <f t="shared" si="13"/>
        <v>63382.359259655015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8"/>
        <v/>
      </c>
      <c r="C132" s="473">
        <f>IF(D93="","-",+C131+1)</f>
        <v>2051</v>
      </c>
      <c r="D132" s="347">
        <f>IF(F131+SUM(E$99:E131)=D$92,F131,D$92-SUM(E$99:E131))</f>
        <v>280045</v>
      </c>
      <c r="E132" s="485">
        <f t="shared" si="19"/>
        <v>32814</v>
      </c>
      <c r="F132" s="486">
        <f t="shared" si="20"/>
        <v>247231</v>
      </c>
      <c r="G132" s="486">
        <f t="shared" si="21"/>
        <v>263638</v>
      </c>
      <c r="H132" s="614">
        <f t="shared" si="12"/>
        <v>59998.775607845215</v>
      </c>
      <c r="I132" s="615">
        <f t="shared" si="13"/>
        <v>59998.775607845215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8"/>
        <v/>
      </c>
      <c r="C133" s="473">
        <f>IF(D93="","-",+C132+1)</f>
        <v>2052</v>
      </c>
      <c r="D133" s="347">
        <f>IF(F132+SUM(E$99:E132)=D$92,F132,D$92-SUM(E$99:E132))</f>
        <v>247231</v>
      </c>
      <c r="E133" s="485">
        <f t="shared" si="19"/>
        <v>32814</v>
      </c>
      <c r="F133" s="486">
        <f t="shared" si="20"/>
        <v>214417</v>
      </c>
      <c r="G133" s="486">
        <f t="shared" si="21"/>
        <v>230824</v>
      </c>
      <c r="H133" s="614">
        <f t="shared" si="12"/>
        <v>56615.191956035414</v>
      </c>
      <c r="I133" s="615">
        <f t="shared" si="13"/>
        <v>56615.191956035414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8"/>
        <v/>
      </c>
      <c r="C134" s="473">
        <f>IF(D93="","-",+C133+1)</f>
        <v>2053</v>
      </c>
      <c r="D134" s="347">
        <f>IF(F133+SUM(E$99:E133)=D$92,F133,D$92-SUM(E$99:E133))</f>
        <v>214417</v>
      </c>
      <c r="E134" s="485">
        <f t="shared" si="19"/>
        <v>32814</v>
      </c>
      <c r="F134" s="486">
        <f t="shared" si="20"/>
        <v>181603</v>
      </c>
      <c r="G134" s="486">
        <f t="shared" si="21"/>
        <v>198010</v>
      </c>
      <c r="H134" s="614">
        <f t="shared" si="12"/>
        <v>53231.608304225607</v>
      </c>
      <c r="I134" s="615">
        <f t="shared" si="13"/>
        <v>53231.608304225607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8"/>
        <v/>
      </c>
      <c r="C135" s="473">
        <f>IF(D93="","-",+C134+1)</f>
        <v>2054</v>
      </c>
      <c r="D135" s="347">
        <f>IF(F134+SUM(E$99:E134)=D$92,F134,D$92-SUM(E$99:E134))</f>
        <v>181603</v>
      </c>
      <c r="E135" s="485">
        <f t="shared" si="19"/>
        <v>32814</v>
      </c>
      <c r="F135" s="486">
        <f t="shared" si="20"/>
        <v>148789</v>
      </c>
      <c r="G135" s="486">
        <f t="shared" si="21"/>
        <v>165196</v>
      </c>
      <c r="H135" s="614">
        <f t="shared" si="12"/>
        <v>49848.024652415806</v>
      </c>
      <c r="I135" s="615">
        <f t="shared" si="13"/>
        <v>49848.024652415806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8"/>
        <v/>
      </c>
      <c r="C136" s="473">
        <f>IF(D93="","-",+C135+1)</f>
        <v>2055</v>
      </c>
      <c r="D136" s="347">
        <f>IF(F135+SUM(E$99:E135)=D$92,F135,D$92-SUM(E$99:E135))</f>
        <v>148789</v>
      </c>
      <c r="E136" s="485">
        <f t="shared" si="19"/>
        <v>32814</v>
      </c>
      <c r="F136" s="486">
        <f t="shared" si="20"/>
        <v>115975</v>
      </c>
      <c r="G136" s="486">
        <f t="shared" si="21"/>
        <v>132382</v>
      </c>
      <c r="H136" s="614">
        <f t="shared" si="12"/>
        <v>46464.441000606006</v>
      </c>
      <c r="I136" s="615">
        <f t="shared" si="13"/>
        <v>46464.441000606006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8"/>
        <v/>
      </c>
      <c r="C137" s="473">
        <f>IF(D93="","-",+C136+1)</f>
        <v>2056</v>
      </c>
      <c r="D137" s="347">
        <f>IF(F136+SUM(E$99:E136)=D$92,F136,D$92-SUM(E$99:E136))</f>
        <v>115975</v>
      </c>
      <c r="E137" s="485">
        <f t="shared" si="19"/>
        <v>32814</v>
      </c>
      <c r="F137" s="486">
        <f t="shared" si="20"/>
        <v>83161</v>
      </c>
      <c r="G137" s="486">
        <f t="shared" si="21"/>
        <v>99568</v>
      </c>
      <c r="H137" s="614">
        <f t="shared" si="12"/>
        <v>43080.857348796198</v>
      </c>
      <c r="I137" s="615">
        <f t="shared" si="13"/>
        <v>43080.857348796198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8"/>
        <v/>
      </c>
      <c r="C138" s="473">
        <f>IF(D93="","-",+C137+1)</f>
        <v>2057</v>
      </c>
      <c r="D138" s="347">
        <f>IF(F137+SUM(E$99:E137)=D$92,F137,D$92-SUM(E$99:E137))</f>
        <v>83161</v>
      </c>
      <c r="E138" s="485">
        <f t="shared" si="19"/>
        <v>32814</v>
      </c>
      <c r="F138" s="486">
        <f t="shared" si="20"/>
        <v>50347</v>
      </c>
      <c r="G138" s="486">
        <f t="shared" si="21"/>
        <v>66754</v>
      </c>
      <c r="H138" s="614">
        <f t="shared" si="12"/>
        <v>39697.273696986398</v>
      </c>
      <c r="I138" s="615">
        <f t="shared" si="13"/>
        <v>39697.273696986398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8"/>
        <v/>
      </c>
      <c r="C139" s="473">
        <f>IF(D93="","-",+C138+1)</f>
        <v>2058</v>
      </c>
      <c r="D139" s="347">
        <f>IF(F138+SUM(E$99:E138)=D$92,F138,D$92-SUM(E$99:E138))</f>
        <v>50347</v>
      </c>
      <c r="E139" s="485">
        <f t="shared" si="19"/>
        <v>32814</v>
      </c>
      <c r="F139" s="486">
        <f t="shared" si="20"/>
        <v>17533</v>
      </c>
      <c r="G139" s="486">
        <f t="shared" si="21"/>
        <v>33940</v>
      </c>
      <c r="H139" s="614">
        <f t="shared" si="12"/>
        <v>36313.690045176591</v>
      </c>
      <c r="I139" s="615">
        <f t="shared" si="13"/>
        <v>36313.690045176591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8"/>
        <v/>
      </c>
      <c r="C140" s="473">
        <f>IF(D93="","-",+C139+1)</f>
        <v>2059</v>
      </c>
      <c r="D140" s="347">
        <f>IF(F139+SUM(E$99:E139)=D$92,F139,D$92-SUM(E$99:E139))</f>
        <v>17533</v>
      </c>
      <c r="E140" s="485">
        <f t="shared" si="19"/>
        <v>17533</v>
      </c>
      <c r="F140" s="486">
        <f t="shared" si="20"/>
        <v>0</v>
      </c>
      <c r="G140" s="486">
        <f t="shared" si="21"/>
        <v>8766.5</v>
      </c>
      <c r="H140" s="614">
        <f t="shared" si="12"/>
        <v>18436.949109635847</v>
      </c>
      <c r="I140" s="615">
        <f t="shared" si="13"/>
        <v>18436.949109635847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8"/>
        <v/>
      </c>
      <c r="C141" s="473">
        <f>IF(D93="","-",+C140+1)</f>
        <v>2060</v>
      </c>
      <c r="D141" s="347">
        <f>IF(F140+SUM(E$99:E140)=D$92,F140,D$92-SUM(E$99:E140))</f>
        <v>0</v>
      </c>
      <c r="E141" s="485">
        <f t="shared" si="19"/>
        <v>0</v>
      </c>
      <c r="F141" s="486">
        <f t="shared" si="20"/>
        <v>0</v>
      </c>
      <c r="G141" s="486">
        <f t="shared" si="21"/>
        <v>0</v>
      </c>
      <c r="H141" s="614">
        <f t="shared" si="12"/>
        <v>0</v>
      </c>
      <c r="I141" s="615">
        <f t="shared" si="13"/>
        <v>0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8"/>
        <v/>
      </c>
      <c r="C142" s="473">
        <f>IF(D93="","-",+C141+1)</f>
        <v>2061</v>
      </c>
      <c r="D142" s="347">
        <f>IF(F141+SUM(E$99:E141)=D$92,F141,D$92-SUM(E$99:E141))</f>
        <v>0</v>
      </c>
      <c r="E142" s="485">
        <f t="shared" si="19"/>
        <v>0</v>
      </c>
      <c r="F142" s="486">
        <f t="shared" si="20"/>
        <v>0</v>
      </c>
      <c r="G142" s="486">
        <f t="shared" si="21"/>
        <v>0</v>
      </c>
      <c r="H142" s="614">
        <f t="shared" si="12"/>
        <v>0</v>
      </c>
      <c r="I142" s="615">
        <f t="shared" si="13"/>
        <v>0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8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9"/>
        <v>0</v>
      </c>
      <c r="F143" s="486">
        <f t="shared" si="20"/>
        <v>0</v>
      </c>
      <c r="G143" s="486">
        <f t="shared" si="21"/>
        <v>0</v>
      </c>
      <c r="H143" s="614">
        <f t="shared" si="12"/>
        <v>0</v>
      </c>
      <c r="I143" s="615">
        <f t="shared" si="13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8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9"/>
        <v>0</v>
      </c>
      <c r="F144" s="486">
        <f t="shared" si="20"/>
        <v>0</v>
      </c>
      <c r="G144" s="486">
        <f t="shared" si="21"/>
        <v>0</v>
      </c>
      <c r="H144" s="614">
        <f t="shared" si="12"/>
        <v>0</v>
      </c>
      <c r="I144" s="615">
        <f t="shared" si="13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8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9"/>
        <v>0</v>
      </c>
      <c r="F145" s="486">
        <f t="shared" si="20"/>
        <v>0</v>
      </c>
      <c r="G145" s="486">
        <f t="shared" si="21"/>
        <v>0</v>
      </c>
      <c r="H145" s="614">
        <f t="shared" si="12"/>
        <v>0</v>
      </c>
      <c r="I145" s="615">
        <f t="shared" si="13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8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9"/>
        <v>0</v>
      </c>
      <c r="F146" s="486">
        <f t="shared" si="20"/>
        <v>0</v>
      </c>
      <c r="G146" s="486">
        <f t="shared" si="21"/>
        <v>0</v>
      </c>
      <c r="H146" s="614">
        <f t="shared" si="12"/>
        <v>0</v>
      </c>
      <c r="I146" s="615">
        <f t="shared" si="13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8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9"/>
        <v>0</v>
      </c>
      <c r="F147" s="486">
        <f t="shared" si="20"/>
        <v>0</v>
      </c>
      <c r="G147" s="486">
        <f t="shared" si="21"/>
        <v>0</v>
      </c>
      <c r="H147" s="614">
        <f t="shared" si="12"/>
        <v>0</v>
      </c>
      <c r="I147" s="615">
        <f t="shared" si="13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8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9"/>
        <v>0</v>
      </c>
      <c r="F148" s="486">
        <f t="shared" si="20"/>
        <v>0</v>
      </c>
      <c r="G148" s="486">
        <f t="shared" si="21"/>
        <v>0</v>
      </c>
      <c r="H148" s="614">
        <f t="shared" si="12"/>
        <v>0</v>
      </c>
      <c r="I148" s="615">
        <f t="shared" si="13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8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9"/>
        <v>0</v>
      </c>
      <c r="F149" s="486">
        <f t="shared" si="20"/>
        <v>0</v>
      </c>
      <c r="G149" s="486">
        <f t="shared" si="21"/>
        <v>0</v>
      </c>
      <c r="H149" s="614">
        <f t="shared" si="12"/>
        <v>0</v>
      </c>
      <c r="I149" s="615">
        <f t="shared" si="13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8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9"/>
        <v>0</v>
      </c>
      <c r="F150" s="486">
        <f t="shared" si="20"/>
        <v>0</v>
      </c>
      <c r="G150" s="486">
        <f t="shared" si="21"/>
        <v>0</v>
      </c>
      <c r="H150" s="614">
        <f t="shared" si="12"/>
        <v>0</v>
      </c>
      <c r="I150" s="615">
        <f t="shared" si="13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8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9"/>
        <v>0</v>
      </c>
      <c r="F151" s="486">
        <f t="shared" si="20"/>
        <v>0</v>
      </c>
      <c r="G151" s="486">
        <f t="shared" si="21"/>
        <v>0</v>
      </c>
      <c r="H151" s="614">
        <f t="shared" si="12"/>
        <v>0</v>
      </c>
      <c r="I151" s="615">
        <f t="shared" si="13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8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9"/>
        <v>0</v>
      </c>
      <c r="F152" s="486">
        <f t="shared" si="20"/>
        <v>0</v>
      </c>
      <c r="G152" s="486">
        <f t="shared" si="21"/>
        <v>0</v>
      </c>
      <c r="H152" s="614">
        <f t="shared" si="12"/>
        <v>0</v>
      </c>
      <c r="I152" s="615">
        <f t="shared" si="13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8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9"/>
        <v>0</v>
      </c>
      <c r="F153" s="486">
        <f t="shared" si="20"/>
        <v>0</v>
      </c>
      <c r="G153" s="486">
        <f t="shared" si="21"/>
        <v>0</v>
      </c>
      <c r="H153" s="614">
        <f t="shared" si="12"/>
        <v>0</v>
      </c>
      <c r="I153" s="615">
        <f t="shared" si="13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8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9"/>
        <v>0</v>
      </c>
      <c r="F154" s="491">
        <f t="shared" si="20"/>
        <v>0</v>
      </c>
      <c r="G154" s="491">
        <f t="shared" si="21"/>
        <v>0</v>
      </c>
      <c r="H154" s="616">
        <f t="shared" si="12"/>
        <v>0</v>
      </c>
      <c r="I154" s="617">
        <f t="shared" si="13"/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1345383</v>
      </c>
      <c r="F155" s="348"/>
      <c r="G155" s="348"/>
      <c r="H155" s="348">
        <f>SUM(H99:H154)</f>
        <v>4192229.8876738646</v>
      </c>
      <c r="I155" s="348">
        <f>SUM(I99:I154)</f>
        <v>4192229.8876738646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topLeftCell="E1" zoomScale="85" zoomScaleNormal="8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25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73419.565193351213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73419.565193351213</v>
      </c>
      <c r="O6" s="233"/>
      <c r="P6" s="233"/>
    </row>
    <row r="7" spans="1:16" ht="13.5" thickBot="1">
      <c r="C7" s="432" t="s">
        <v>46</v>
      </c>
      <c r="D7" s="600" t="s">
        <v>324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325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302080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6712.8888888888887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11600</v>
      </c>
      <c r="F17" s="585">
        <v>1032400</v>
      </c>
      <c r="G17" s="609">
        <v>81460.13871045578</v>
      </c>
      <c r="H17" s="588">
        <v>81460.13871045578</v>
      </c>
      <c r="I17" s="476">
        <f>H17-G17</f>
        <v>0</v>
      </c>
      <c r="J17" s="476"/>
      <c r="K17" s="555">
        <f>+G17</f>
        <v>81460.13871045578</v>
      </c>
      <c r="L17" s="478">
        <f t="shared" ref="L17:L72" si="0">IF(K17&lt;&gt;0,+G17-K17,0)</f>
        <v>0</v>
      </c>
      <c r="M17" s="555">
        <f>+H17</f>
        <v>81460.13871045578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2019</v>
      </c>
      <c r="D18" s="585">
        <v>0</v>
      </c>
      <c r="E18" s="586">
        <v>11600</v>
      </c>
      <c r="F18" s="585">
        <v>1032400</v>
      </c>
      <c r="G18" s="586">
        <v>73419.565193351213</v>
      </c>
      <c r="H18" s="588">
        <v>73419.565193351213</v>
      </c>
      <c r="I18" s="476">
        <f>H18-G18</f>
        <v>0</v>
      </c>
      <c r="J18" s="476"/>
      <c r="K18" s="479">
        <f>+G18</f>
        <v>73419.565193351213</v>
      </c>
      <c r="L18" s="479">
        <f t="shared" si="0"/>
        <v>0</v>
      </c>
      <c r="M18" s="479">
        <f>+H18</f>
        <v>73419.565193351213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2020</v>
      </c>
      <c r="D19" s="484">
        <f>IF(F18+SUM(E$17:E18)=D$10,F18,D$10-SUM(E$17:E18))</f>
        <v>278880</v>
      </c>
      <c r="E19" s="485">
        <f t="shared" ref="E19:E71" si="3">IF(+I$14&lt;F18,I$14,D19)</f>
        <v>6712.8888888888887</v>
      </c>
      <c r="F19" s="486">
        <f t="shared" ref="F19:F71" si="4">+D19-E19</f>
        <v>272167.11111111112</v>
      </c>
      <c r="G19" s="487">
        <f t="shared" ref="G19:G71" si="5">(D19+F19)/2*I$12+E19</f>
        <v>44000.982281196295</v>
      </c>
      <c r="H19" s="456">
        <f t="shared" ref="H19:H71" si="6">+(D19+F19)/2*I$13+E19</f>
        <v>44000.982281196295</v>
      </c>
      <c r="I19" s="476">
        <f t="shared" ref="I19:I71" si="7">H19-G19</f>
        <v>0</v>
      </c>
      <c r="J19" s="476"/>
      <c r="K19" s="488"/>
      <c r="L19" s="479">
        <f t="shared" si="0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8">IF(D20=F19,"","IU")</f>
        <v/>
      </c>
      <c r="C20" s="473">
        <f>IF(D11="","-",+C19+1)</f>
        <v>2021</v>
      </c>
      <c r="D20" s="484">
        <f>IF(F19+SUM(E$17:E19)=D$10,F19,D$10-SUM(E$17:E19))</f>
        <v>272167.11111111112</v>
      </c>
      <c r="E20" s="485">
        <f t="shared" si="3"/>
        <v>6712.8888888888887</v>
      </c>
      <c r="F20" s="486">
        <f t="shared" si="4"/>
        <v>265454.22222222225</v>
      </c>
      <c r="G20" s="487">
        <f t="shared" si="5"/>
        <v>43092.490710243845</v>
      </c>
      <c r="H20" s="456">
        <f t="shared" si="6"/>
        <v>43092.490710243845</v>
      </c>
      <c r="I20" s="476">
        <f t="shared" si="7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8"/>
        <v/>
      </c>
      <c r="C21" s="473">
        <f>IF(D11="","-",+C20+1)</f>
        <v>2022</v>
      </c>
      <c r="D21" s="484">
        <f>IF(F20+SUM(E$17:E20)=D$10,F20,D$10-SUM(E$17:E20))</f>
        <v>265454.22222222225</v>
      </c>
      <c r="E21" s="485">
        <f t="shared" si="3"/>
        <v>6712.8888888888887</v>
      </c>
      <c r="F21" s="486">
        <f t="shared" si="4"/>
        <v>258741.33333333337</v>
      </c>
      <c r="G21" s="487">
        <f t="shared" si="5"/>
        <v>42183.999139291394</v>
      </c>
      <c r="H21" s="456">
        <f t="shared" si="6"/>
        <v>42183.999139291394</v>
      </c>
      <c r="I21" s="476">
        <f t="shared" si="7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8"/>
        <v/>
      </c>
      <c r="C22" s="473">
        <f>IF(D11="","-",+C21+1)</f>
        <v>2023</v>
      </c>
      <c r="D22" s="484">
        <f>IF(F21+SUM(E$17:E21)=D$10,F21,D$10-SUM(E$17:E21))</f>
        <v>258741.33333333337</v>
      </c>
      <c r="E22" s="485">
        <f t="shared" si="3"/>
        <v>6712.8888888888887</v>
      </c>
      <c r="F22" s="486">
        <f t="shared" si="4"/>
        <v>252028.4444444445</v>
      </c>
      <c r="G22" s="487">
        <f t="shared" si="5"/>
        <v>41275.507568338951</v>
      </c>
      <c r="H22" s="456">
        <f t="shared" si="6"/>
        <v>41275.507568338951</v>
      </c>
      <c r="I22" s="476">
        <f t="shared" si="7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8"/>
        <v/>
      </c>
      <c r="C23" s="473">
        <f>IF(D11="","-",+C22+1)</f>
        <v>2024</v>
      </c>
      <c r="D23" s="484">
        <f>IF(F22+SUM(E$17:E22)=D$10,F22,D$10-SUM(E$17:E22))</f>
        <v>252028.4444444445</v>
      </c>
      <c r="E23" s="485">
        <f t="shared" si="3"/>
        <v>6712.8888888888887</v>
      </c>
      <c r="F23" s="486">
        <f t="shared" si="4"/>
        <v>245315.55555555562</v>
      </c>
      <c r="G23" s="487">
        <f t="shared" si="5"/>
        <v>40367.015997386501</v>
      </c>
      <c r="H23" s="456">
        <f t="shared" si="6"/>
        <v>40367.015997386501</v>
      </c>
      <c r="I23" s="476">
        <f t="shared" si="7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8"/>
        <v/>
      </c>
      <c r="C24" s="473">
        <f>IF(D11="","-",+C23+1)</f>
        <v>2025</v>
      </c>
      <c r="D24" s="484">
        <f>IF(F23+SUM(E$17:E23)=D$10,F23,D$10-SUM(E$17:E23))</f>
        <v>245315.55555555562</v>
      </c>
      <c r="E24" s="485">
        <f t="shared" si="3"/>
        <v>6712.8888888888887</v>
      </c>
      <c r="F24" s="486">
        <f t="shared" si="4"/>
        <v>238602.66666666674</v>
      </c>
      <c r="G24" s="487">
        <f t="shared" si="5"/>
        <v>39458.524426434051</v>
      </c>
      <c r="H24" s="456">
        <f t="shared" si="6"/>
        <v>39458.524426434051</v>
      </c>
      <c r="I24" s="476">
        <f t="shared" si="7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8"/>
        <v/>
      </c>
      <c r="C25" s="473">
        <f>IF(D11="","-",+C24+1)</f>
        <v>2026</v>
      </c>
      <c r="D25" s="484">
        <f>IF(F24+SUM(E$17:E24)=D$10,F24,D$10-SUM(E$17:E24))</f>
        <v>238602.66666666674</v>
      </c>
      <c r="E25" s="485">
        <f t="shared" si="3"/>
        <v>6712.8888888888887</v>
      </c>
      <c r="F25" s="486">
        <f t="shared" si="4"/>
        <v>231889.77777777787</v>
      </c>
      <c r="G25" s="487">
        <f t="shared" si="5"/>
        <v>38550.032855481601</v>
      </c>
      <c r="H25" s="456">
        <f t="shared" si="6"/>
        <v>38550.032855481601</v>
      </c>
      <c r="I25" s="476">
        <f t="shared" si="7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8"/>
        <v/>
      </c>
      <c r="C26" s="473">
        <f>IF(D11="","-",+C25+1)</f>
        <v>2027</v>
      </c>
      <c r="D26" s="484">
        <f>IF(F25+SUM(E$17:E25)=D$10,F25,D$10-SUM(E$17:E25))</f>
        <v>231889.77777777787</v>
      </c>
      <c r="E26" s="485">
        <f t="shared" si="3"/>
        <v>6712.8888888888887</v>
      </c>
      <c r="F26" s="486">
        <f t="shared" si="4"/>
        <v>225176.88888888899</v>
      </c>
      <c r="G26" s="487">
        <f t="shared" si="5"/>
        <v>37641.54128452915</v>
      </c>
      <c r="H26" s="456">
        <f t="shared" si="6"/>
        <v>37641.54128452915</v>
      </c>
      <c r="I26" s="476">
        <f t="shared" si="7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8"/>
        <v/>
      </c>
      <c r="C27" s="473">
        <f>IF(D11="","-",+C26+1)</f>
        <v>2028</v>
      </c>
      <c r="D27" s="484">
        <f>IF(F26+SUM(E$17:E26)=D$10,F26,D$10-SUM(E$17:E26))</f>
        <v>225176.88888888899</v>
      </c>
      <c r="E27" s="485">
        <f t="shared" si="3"/>
        <v>6712.8888888888887</v>
      </c>
      <c r="F27" s="486">
        <f t="shared" si="4"/>
        <v>218464.00000000012</v>
      </c>
      <c r="G27" s="487">
        <f t="shared" si="5"/>
        <v>36733.0497135767</v>
      </c>
      <c r="H27" s="456">
        <f t="shared" si="6"/>
        <v>36733.0497135767</v>
      </c>
      <c r="I27" s="476">
        <f t="shared" si="7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8"/>
        <v/>
      </c>
      <c r="C28" s="473">
        <f>IF(D11="","-",+C27+1)</f>
        <v>2029</v>
      </c>
      <c r="D28" s="484">
        <f>IF(F27+SUM(E$17:E27)=D$10,F27,D$10-SUM(E$17:E27))</f>
        <v>218464.00000000012</v>
      </c>
      <c r="E28" s="485">
        <f t="shared" si="3"/>
        <v>6712.8888888888887</v>
      </c>
      <c r="F28" s="486">
        <f t="shared" si="4"/>
        <v>211751.11111111124</v>
      </c>
      <c r="G28" s="487">
        <f t="shared" si="5"/>
        <v>35824.55814262425</v>
      </c>
      <c r="H28" s="456">
        <f t="shared" si="6"/>
        <v>35824.55814262425</v>
      </c>
      <c r="I28" s="476">
        <f t="shared" si="7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8"/>
        <v/>
      </c>
      <c r="C29" s="473">
        <f>IF(D11="","-",+C28+1)</f>
        <v>2030</v>
      </c>
      <c r="D29" s="484">
        <f>IF(F28+SUM(E$17:E28)=D$10,F28,D$10-SUM(E$17:E28))</f>
        <v>211751.11111111124</v>
      </c>
      <c r="E29" s="485">
        <f t="shared" si="3"/>
        <v>6712.8888888888887</v>
      </c>
      <c r="F29" s="486">
        <f t="shared" si="4"/>
        <v>205038.22222222236</v>
      </c>
      <c r="G29" s="487">
        <f t="shared" si="5"/>
        <v>34916.066571671799</v>
      </c>
      <c r="H29" s="456">
        <f t="shared" si="6"/>
        <v>34916.066571671799</v>
      </c>
      <c r="I29" s="476">
        <f t="shared" si="7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8"/>
        <v/>
      </c>
      <c r="C30" s="473">
        <f>IF(D11="","-",+C29+1)</f>
        <v>2031</v>
      </c>
      <c r="D30" s="484">
        <f>IF(F29+SUM(E$17:E29)=D$10,F29,D$10-SUM(E$17:E29))</f>
        <v>205038.22222222236</v>
      </c>
      <c r="E30" s="485">
        <f t="shared" si="3"/>
        <v>6712.8888888888887</v>
      </c>
      <c r="F30" s="486">
        <f t="shared" si="4"/>
        <v>198325.33333333349</v>
      </c>
      <c r="G30" s="487">
        <f t="shared" si="5"/>
        <v>34007.575000719349</v>
      </c>
      <c r="H30" s="456">
        <f t="shared" si="6"/>
        <v>34007.575000719349</v>
      </c>
      <c r="I30" s="476">
        <f t="shared" si="7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8"/>
        <v/>
      </c>
      <c r="C31" s="473">
        <f>IF(D11="","-",+C30+1)</f>
        <v>2032</v>
      </c>
      <c r="D31" s="484">
        <f>IF(F30+SUM(E$17:E30)=D$10,F30,D$10-SUM(E$17:E30))</f>
        <v>198325.33333333349</v>
      </c>
      <c r="E31" s="485">
        <f t="shared" si="3"/>
        <v>6712.8888888888887</v>
      </c>
      <c r="F31" s="486">
        <f t="shared" si="4"/>
        <v>191612.44444444461</v>
      </c>
      <c r="G31" s="487">
        <f t="shared" si="5"/>
        <v>33099.083429766906</v>
      </c>
      <c r="H31" s="456">
        <f t="shared" si="6"/>
        <v>33099.083429766906</v>
      </c>
      <c r="I31" s="476">
        <f t="shared" si="7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8"/>
        <v/>
      </c>
      <c r="C32" s="473">
        <f>IF(D11="","-",+C31+1)</f>
        <v>2033</v>
      </c>
      <c r="D32" s="484">
        <f>IF(F31+SUM(E$17:E31)=D$10,F31,D$10-SUM(E$17:E31))</f>
        <v>191612.44444444461</v>
      </c>
      <c r="E32" s="485">
        <f t="shared" si="3"/>
        <v>6712.8888888888887</v>
      </c>
      <c r="F32" s="486">
        <f t="shared" si="4"/>
        <v>184899.55555555574</v>
      </c>
      <c r="G32" s="487">
        <f t="shared" si="5"/>
        <v>32190.591858814456</v>
      </c>
      <c r="H32" s="456">
        <f t="shared" si="6"/>
        <v>32190.591858814456</v>
      </c>
      <c r="I32" s="476">
        <f t="shared" si="7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8"/>
        <v/>
      </c>
      <c r="C33" s="473">
        <f>IF(D11="","-",+C32+1)</f>
        <v>2034</v>
      </c>
      <c r="D33" s="484">
        <f>IF(F32+SUM(E$17:E32)=D$10,F32,D$10-SUM(E$17:E32))</f>
        <v>184899.55555555574</v>
      </c>
      <c r="E33" s="485">
        <f t="shared" si="3"/>
        <v>6712.8888888888887</v>
      </c>
      <c r="F33" s="486">
        <f t="shared" si="4"/>
        <v>178186.66666666686</v>
      </c>
      <c r="G33" s="487">
        <f t="shared" si="5"/>
        <v>31282.100287862006</v>
      </c>
      <c r="H33" s="456">
        <f t="shared" si="6"/>
        <v>31282.100287862006</v>
      </c>
      <c r="I33" s="476">
        <f t="shared" si="7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8"/>
        <v/>
      </c>
      <c r="C34" s="473">
        <f>IF(D11="","-",+C33+1)</f>
        <v>2035</v>
      </c>
      <c r="D34" s="484">
        <f>IF(F33+SUM(E$17:E33)=D$10,F33,D$10-SUM(E$17:E33))</f>
        <v>178186.66666666686</v>
      </c>
      <c r="E34" s="485">
        <f t="shared" si="3"/>
        <v>6712.8888888888887</v>
      </c>
      <c r="F34" s="486">
        <f t="shared" si="4"/>
        <v>171473.77777777798</v>
      </c>
      <c r="G34" s="487">
        <f t="shared" si="5"/>
        <v>30373.608716909555</v>
      </c>
      <c r="H34" s="456">
        <f t="shared" si="6"/>
        <v>30373.608716909555</v>
      </c>
      <c r="I34" s="476">
        <f t="shared" si="7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8"/>
        <v/>
      </c>
      <c r="C35" s="473">
        <f>IF(D11="","-",+C34+1)</f>
        <v>2036</v>
      </c>
      <c r="D35" s="484">
        <f>IF(F34+SUM(E$17:E34)=D$10,F34,D$10-SUM(E$17:E34))</f>
        <v>171473.77777777798</v>
      </c>
      <c r="E35" s="485">
        <f t="shared" si="3"/>
        <v>6712.8888888888887</v>
      </c>
      <c r="F35" s="486">
        <f t="shared" si="4"/>
        <v>164760.88888888911</v>
      </c>
      <c r="G35" s="487">
        <f t="shared" si="5"/>
        <v>29465.117145957105</v>
      </c>
      <c r="H35" s="456">
        <f t="shared" si="6"/>
        <v>29465.117145957105</v>
      </c>
      <c r="I35" s="476">
        <f t="shared" si="7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8"/>
        <v/>
      </c>
      <c r="C36" s="473">
        <f>IF(D11="","-",+C35+1)</f>
        <v>2037</v>
      </c>
      <c r="D36" s="484">
        <f>IF(F35+SUM(E$17:E35)=D$10,F35,D$10-SUM(E$17:E35))</f>
        <v>164760.88888888911</v>
      </c>
      <c r="E36" s="485">
        <f t="shared" si="3"/>
        <v>6712.8888888888887</v>
      </c>
      <c r="F36" s="486">
        <f t="shared" si="4"/>
        <v>158048.00000000023</v>
      </c>
      <c r="G36" s="487">
        <f t="shared" si="5"/>
        <v>28556.625575004655</v>
      </c>
      <c r="H36" s="456">
        <f t="shared" si="6"/>
        <v>28556.625575004655</v>
      </c>
      <c r="I36" s="476">
        <f t="shared" si="7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8"/>
        <v/>
      </c>
      <c r="C37" s="473">
        <f>IF(D11="","-",+C36+1)</f>
        <v>2038</v>
      </c>
      <c r="D37" s="484">
        <f>IF(F36+SUM(E$17:E36)=D$10,F36,D$10-SUM(E$17:E36))</f>
        <v>158048.00000000023</v>
      </c>
      <c r="E37" s="485">
        <f t="shared" si="3"/>
        <v>6712.8888888888887</v>
      </c>
      <c r="F37" s="486">
        <f t="shared" si="4"/>
        <v>151335.11111111136</v>
      </c>
      <c r="G37" s="487">
        <f t="shared" si="5"/>
        <v>27648.134004052205</v>
      </c>
      <c r="H37" s="456">
        <f t="shared" si="6"/>
        <v>27648.134004052205</v>
      </c>
      <c r="I37" s="476">
        <f t="shared" si="7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8"/>
        <v/>
      </c>
      <c r="C38" s="473">
        <f>IF(D11="","-",+C37+1)</f>
        <v>2039</v>
      </c>
      <c r="D38" s="484">
        <f>IF(F37+SUM(E$17:E37)=D$10,F37,D$10-SUM(E$17:E37))</f>
        <v>151335.11111111136</v>
      </c>
      <c r="E38" s="485">
        <f t="shared" si="3"/>
        <v>6712.8888888888887</v>
      </c>
      <c r="F38" s="486">
        <f t="shared" si="4"/>
        <v>144622.22222222248</v>
      </c>
      <c r="G38" s="487">
        <f t="shared" si="5"/>
        <v>26739.642433099762</v>
      </c>
      <c r="H38" s="456">
        <f t="shared" si="6"/>
        <v>26739.642433099762</v>
      </c>
      <c r="I38" s="476">
        <f t="shared" si="7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8"/>
        <v/>
      </c>
      <c r="C39" s="473">
        <f>IF(D11="","-",+C38+1)</f>
        <v>2040</v>
      </c>
      <c r="D39" s="484">
        <f>IF(F38+SUM(E$17:E38)=D$10,F38,D$10-SUM(E$17:E38))</f>
        <v>144622.22222222248</v>
      </c>
      <c r="E39" s="485">
        <f t="shared" si="3"/>
        <v>6712.8888888888887</v>
      </c>
      <c r="F39" s="486">
        <f t="shared" si="4"/>
        <v>137909.3333333336</v>
      </c>
      <c r="G39" s="487">
        <f t="shared" si="5"/>
        <v>25831.150862147311</v>
      </c>
      <c r="H39" s="456">
        <f t="shared" si="6"/>
        <v>25831.150862147311</v>
      </c>
      <c r="I39" s="476">
        <f t="shared" si="7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8"/>
        <v/>
      </c>
      <c r="C40" s="473">
        <f>IF(D11="","-",+C39+1)</f>
        <v>2041</v>
      </c>
      <c r="D40" s="484">
        <f>IF(F39+SUM(E$17:E39)=D$10,F39,D$10-SUM(E$17:E39))</f>
        <v>137909.3333333336</v>
      </c>
      <c r="E40" s="485">
        <f t="shared" si="3"/>
        <v>6712.8888888888887</v>
      </c>
      <c r="F40" s="486">
        <f t="shared" si="4"/>
        <v>131196.44444444473</v>
      </c>
      <c r="G40" s="487">
        <f t="shared" si="5"/>
        <v>24922.659291194861</v>
      </c>
      <c r="H40" s="456">
        <f t="shared" si="6"/>
        <v>24922.659291194861</v>
      </c>
      <c r="I40" s="476">
        <f t="shared" si="7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8"/>
        <v/>
      </c>
      <c r="C41" s="473">
        <f>IF(D11="","-",+C40+1)</f>
        <v>2042</v>
      </c>
      <c r="D41" s="484">
        <f>IF(F40+SUM(E$17:E40)=D$10,F40,D$10-SUM(E$17:E40))</f>
        <v>131196.44444444473</v>
      </c>
      <c r="E41" s="485">
        <f t="shared" si="3"/>
        <v>6712.8888888888887</v>
      </c>
      <c r="F41" s="486">
        <f t="shared" si="4"/>
        <v>124483.55555555584</v>
      </c>
      <c r="G41" s="487">
        <f t="shared" si="5"/>
        <v>24014.167720242411</v>
      </c>
      <c r="H41" s="456">
        <f t="shared" si="6"/>
        <v>24014.167720242411</v>
      </c>
      <c r="I41" s="476">
        <f t="shared" si="7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8"/>
        <v/>
      </c>
      <c r="C42" s="473">
        <f>IF(D11="","-",+C41+1)</f>
        <v>2043</v>
      </c>
      <c r="D42" s="484">
        <f>IF(F41+SUM(E$17:E41)=D$10,F41,D$10-SUM(E$17:E41))</f>
        <v>124483.55555555584</v>
      </c>
      <c r="E42" s="485">
        <f t="shared" si="3"/>
        <v>6712.8888888888887</v>
      </c>
      <c r="F42" s="486">
        <f t="shared" si="4"/>
        <v>117770.66666666695</v>
      </c>
      <c r="G42" s="487">
        <f t="shared" si="5"/>
        <v>23105.67614928996</v>
      </c>
      <c r="H42" s="456">
        <f t="shared" si="6"/>
        <v>23105.67614928996</v>
      </c>
      <c r="I42" s="476">
        <f t="shared" si="7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8"/>
        <v/>
      </c>
      <c r="C43" s="473">
        <f>IF(D11="","-",+C42+1)</f>
        <v>2044</v>
      </c>
      <c r="D43" s="484">
        <f>IF(F42+SUM(E$17:E42)=D$10,F42,D$10-SUM(E$17:E42))</f>
        <v>117770.66666666695</v>
      </c>
      <c r="E43" s="485">
        <f t="shared" si="3"/>
        <v>6712.8888888888887</v>
      </c>
      <c r="F43" s="486">
        <f t="shared" si="4"/>
        <v>111057.77777777806</v>
      </c>
      <c r="G43" s="487">
        <f t="shared" si="5"/>
        <v>22197.18457833751</v>
      </c>
      <c r="H43" s="456">
        <f t="shared" si="6"/>
        <v>22197.18457833751</v>
      </c>
      <c r="I43" s="476">
        <f t="shared" si="7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8"/>
        <v/>
      </c>
      <c r="C44" s="473">
        <f>IF(D11="","-",+C43+1)</f>
        <v>2045</v>
      </c>
      <c r="D44" s="484">
        <f>IF(F43+SUM(E$17:E43)=D$10,F43,D$10-SUM(E$17:E43))</f>
        <v>111057.77777777806</v>
      </c>
      <c r="E44" s="485">
        <f t="shared" si="3"/>
        <v>6712.8888888888887</v>
      </c>
      <c r="F44" s="486">
        <f t="shared" si="4"/>
        <v>104344.88888888917</v>
      </c>
      <c r="G44" s="487">
        <f t="shared" si="5"/>
        <v>21288.693007385053</v>
      </c>
      <c r="H44" s="456">
        <f t="shared" si="6"/>
        <v>21288.693007385053</v>
      </c>
      <c r="I44" s="476">
        <f t="shared" si="7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8"/>
        <v/>
      </c>
      <c r="C45" s="473">
        <f>IF(D11="","-",+C44+1)</f>
        <v>2046</v>
      </c>
      <c r="D45" s="484">
        <f>IF(F44+SUM(E$17:E44)=D$10,F44,D$10-SUM(E$17:E44))</f>
        <v>104344.88888888917</v>
      </c>
      <c r="E45" s="485">
        <f t="shared" si="3"/>
        <v>6712.8888888888887</v>
      </c>
      <c r="F45" s="486">
        <f t="shared" si="4"/>
        <v>97632.000000000276</v>
      </c>
      <c r="G45" s="487">
        <f t="shared" si="5"/>
        <v>20380.201436432606</v>
      </c>
      <c r="H45" s="456">
        <f t="shared" si="6"/>
        <v>20380.201436432606</v>
      </c>
      <c r="I45" s="476">
        <f t="shared" si="7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8"/>
        <v/>
      </c>
      <c r="C46" s="473">
        <f>IF(D11="","-",+C45+1)</f>
        <v>2047</v>
      </c>
      <c r="D46" s="484">
        <f>IF(F45+SUM(E$17:E45)=D$10,F45,D$10-SUM(E$17:E45))</f>
        <v>97632.000000000276</v>
      </c>
      <c r="E46" s="485">
        <f t="shared" si="3"/>
        <v>6712.8888888888887</v>
      </c>
      <c r="F46" s="486">
        <f t="shared" si="4"/>
        <v>90919.111111111386</v>
      </c>
      <c r="G46" s="487">
        <f t="shared" si="5"/>
        <v>19471.709865480152</v>
      </c>
      <c r="H46" s="456">
        <f t="shared" si="6"/>
        <v>19471.709865480152</v>
      </c>
      <c r="I46" s="476">
        <f t="shared" si="7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8"/>
        <v/>
      </c>
      <c r="C47" s="473">
        <f>IF(D11="","-",+C46+1)</f>
        <v>2048</v>
      </c>
      <c r="D47" s="484">
        <f>IF(F46+SUM(E$17:E46)=D$10,F46,D$10-SUM(E$17:E46))</f>
        <v>90919.111111111386</v>
      </c>
      <c r="E47" s="485">
        <f t="shared" si="3"/>
        <v>6712.8888888888887</v>
      </c>
      <c r="F47" s="486">
        <f t="shared" si="4"/>
        <v>84206.222222222495</v>
      </c>
      <c r="G47" s="487">
        <f t="shared" si="5"/>
        <v>18563.218294527702</v>
      </c>
      <c r="H47" s="456">
        <f t="shared" si="6"/>
        <v>18563.218294527702</v>
      </c>
      <c r="I47" s="476">
        <f t="shared" si="7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8"/>
        <v/>
      </c>
      <c r="C48" s="473">
        <f>IF(D11="","-",+C47+1)</f>
        <v>2049</v>
      </c>
      <c r="D48" s="484">
        <f>IF(F47+SUM(E$17:E47)=D$10,F47,D$10-SUM(E$17:E47))</f>
        <v>84206.222222222495</v>
      </c>
      <c r="E48" s="485">
        <f t="shared" si="3"/>
        <v>6712.8888888888887</v>
      </c>
      <c r="F48" s="486">
        <f t="shared" si="4"/>
        <v>77493.333333333605</v>
      </c>
      <c r="G48" s="487">
        <f t="shared" si="5"/>
        <v>17654.726723575252</v>
      </c>
      <c r="H48" s="456">
        <f t="shared" si="6"/>
        <v>17654.726723575252</v>
      </c>
      <c r="I48" s="476">
        <f t="shared" si="7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8"/>
        <v/>
      </c>
      <c r="C49" s="473">
        <f>IF(D11="","-",+C48+1)</f>
        <v>2050</v>
      </c>
      <c r="D49" s="484">
        <f>IF(F48+SUM(E$17:E48)=D$10,F48,D$10-SUM(E$17:E48))</f>
        <v>77493.333333333605</v>
      </c>
      <c r="E49" s="485">
        <f t="shared" si="3"/>
        <v>6712.8888888888887</v>
      </c>
      <c r="F49" s="486">
        <f t="shared" si="4"/>
        <v>70780.444444444714</v>
      </c>
      <c r="G49" s="487">
        <f t="shared" si="5"/>
        <v>16746.235152622801</v>
      </c>
      <c r="H49" s="456">
        <f t="shared" si="6"/>
        <v>16746.235152622801</v>
      </c>
      <c r="I49" s="476">
        <f t="shared" si="7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8"/>
        <v/>
      </c>
      <c r="C50" s="473">
        <f>IF(D11="","-",+C49+1)</f>
        <v>2051</v>
      </c>
      <c r="D50" s="484">
        <f>IF(F49+SUM(E$17:E49)=D$10,F49,D$10-SUM(E$17:E49))</f>
        <v>70780.444444444714</v>
      </c>
      <c r="E50" s="485">
        <f t="shared" si="3"/>
        <v>6712.8888888888887</v>
      </c>
      <c r="F50" s="486">
        <f t="shared" si="4"/>
        <v>64067.555555555824</v>
      </c>
      <c r="G50" s="487">
        <f t="shared" si="5"/>
        <v>15837.743581670347</v>
      </c>
      <c r="H50" s="456">
        <f t="shared" si="6"/>
        <v>15837.743581670347</v>
      </c>
      <c r="I50" s="476">
        <f t="shared" si="7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8"/>
        <v/>
      </c>
      <c r="C51" s="473">
        <f>IF(D11="","-",+C50+1)</f>
        <v>2052</v>
      </c>
      <c r="D51" s="484">
        <f>IF(F50+SUM(E$17:E50)=D$10,F50,D$10-SUM(E$17:E50))</f>
        <v>64067.555555555824</v>
      </c>
      <c r="E51" s="485">
        <f t="shared" si="3"/>
        <v>6712.8888888888887</v>
      </c>
      <c r="F51" s="486">
        <f t="shared" si="4"/>
        <v>57354.666666666933</v>
      </c>
      <c r="G51" s="487">
        <f t="shared" si="5"/>
        <v>14929.252010717897</v>
      </c>
      <c r="H51" s="456">
        <f t="shared" si="6"/>
        <v>14929.252010717897</v>
      </c>
      <c r="I51" s="476">
        <f t="shared" si="7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8"/>
        <v/>
      </c>
      <c r="C52" s="473">
        <f>IF(D11="","-",+C51+1)</f>
        <v>2053</v>
      </c>
      <c r="D52" s="484">
        <f>IF(F51+SUM(E$17:E51)=D$10,F51,D$10-SUM(E$17:E51))</f>
        <v>57354.666666666933</v>
      </c>
      <c r="E52" s="485">
        <f t="shared" si="3"/>
        <v>6712.8888888888887</v>
      </c>
      <c r="F52" s="486">
        <f t="shared" si="4"/>
        <v>50641.777777778043</v>
      </c>
      <c r="G52" s="487">
        <f t="shared" si="5"/>
        <v>14020.760439765447</v>
      </c>
      <c r="H52" s="456">
        <f t="shared" si="6"/>
        <v>14020.760439765447</v>
      </c>
      <c r="I52" s="476">
        <f t="shared" si="7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8"/>
        <v/>
      </c>
      <c r="C53" s="473">
        <f>IF(D11="","-",+C52+1)</f>
        <v>2054</v>
      </c>
      <c r="D53" s="484">
        <f>IF(F52+SUM(E$17:E52)=D$10,F52,D$10-SUM(E$17:E52))</f>
        <v>50641.777777778043</v>
      </c>
      <c r="E53" s="485">
        <f t="shared" si="3"/>
        <v>6712.8888888888887</v>
      </c>
      <c r="F53" s="486">
        <f t="shared" si="4"/>
        <v>43928.888888889152</v>
      </c>
      <c r="G53" s="487">
        <f t="shared" si="5"/>
        <v>13112.268868812997</v>
      </c>
      <c r="H53" s="456">
        <f t="shared" si="6"/>
        <v>13112.268868812997</v>
      </c>
      <c r="I53" s="476">
        <f t="shared" si="7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8"/>
        <v/>
      </c>
      <c r="C54" s="473">
        <f>IF(D11="","-",+C53+1)</f>
        <v>2055</v>
      </c>
      <c r="D54" s="484">
        <f>IF(F53+SUM(E$17:E53)=D$10,F53,D$10-SUM(E$17:E53))</f>
        <v>43928.888888889152</v>
      </c>
      <c r="E54" s="485">
        <f t="shared" si="3"/>
        <v>6712.8888888888887</v>
      </c>
      <c r="F54" s="486">
        <f t="shared" si="4"/>
        <v>37216.000000000262</v>
      </c>
      <c r="G54" s="487">
        <f t="shared" si="5"/>
        <v>12203.777297860544</v>
      </c>
      <c r="H54" s="456">
        <f t="shared" si="6"/>
        <v>12203.777297860544</v>
      </c>
      <c r="I54" s="476">
        <f t="shared" si="7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8"/>
        <v/>
      </c>
      <c r="C55" s="473">
        <f>IF(D11="","-",+C54+1)</f>
        <v>2056</v>
      </c>
      <c r="D55" s="484">
        <f>IF(F54+SUM(E$17:E54)=D$10,F54,D$10-SUM(E$17:E54))</f>
        <v>37216.000000000262</v>
      </c>
      <c r="E55" s="485">
        <f t="shared" si="3"/>
        <v>6712.8888888888887</v>
      </c>
      <c r="F55" s="486">
        <f t="shared" si="4"/>
        <v>30503.111111111371</v>
      </c>
      <c r="G55" s="487">
        <f t="shared" si="5"/>
        <v>11295.285726908092</v>
      </c>
      <c r="H55" s="456">
        <f t="shared" si="6"/>
        <v>11295.285726908092</v>
      </c>
      <c r="I55" s="476">
        <f t="shared" si="7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8"/>
        <v/>
      </c>
      <c r="C56" s="473">
        <f>IF(D11="","-",+C55+1)</f>
        <v>2057</v>
      </c>
      <c r="D56" s="484">
        <f>IF(F55+SUM(E$17:E55)=D$10,F55,D$10-SUM(E$17:E55))</f>
        <v>30503.111111111371</v>
      </c>
      <c r="E56" s="485">
        <f t="shared" si="3"/>
        <v>6712.8888888888887</v>
      </c>
      <c r="F56" s="486">
        <f t="shared" si="4"/>
        <v>23790.222222222481</v>
      </c>
      <c r="G56" s="487">
        <f t="shared" si="5"/>
        <v>10386.794155955642</v>
      </c>
      <c r="H56" s="456">
        <f t="shared" si="6"/>
        <v>10386.794155955642</v>
      </c>
      <c r="I56" s="476">
        <f t="shared" si="7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8"/>
        <v/>
      </c>
      <c r="C57" s="473">
        <f>IF(D11="","-",+C56+1)</f>
        <v>2058</v>
      </c>
      <c r="D57" s="484">
        <f>IF(F56+SUM(E$17:E56)=D$10,F56,D$10-SUM(E$17:E56))</f>
        <v>23790.222222222481</v>
      </c>
      <c r="E57" s="485">
        <f t="shared" si="3"/>
        <v>6712.8888888888887</v>
      </c>
      <c r="F57" s="486">
        <f t="shared" si="4"/>
        <v>17077.33333333359</v>
      </c>
      <c r="G57" s="487">
        <f t="shared" si="5"/>
        <v>9478.30258500319</v>
      </c>
      <c r="H57" s="456">
        <f t="shared" si="6"/>
        <v>9478.30258500319</v>
      </c>
      <c r="I57" s="476">
        <f t="shared" si="7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8"/>
        <v/>
      </c>
      <c r="C58" s="473">
        <f>IF(D11="","-",+C57+1)</f>
        <v>2059</v>
      </c>
      <c r="D58" s="484">
        <f>IF(F57+SUM(E$17:E57)=D$10,F57,D$10-SUM(E$17:E57))</f>
        <v>17077.33333333359</v>
      </c>
      <c r="E58" s="485">
        <f t="shared" si="3"/>
        <v>6712.8888888888887</v>
      </c>
      <c r="F58" s="486">
        <f t="shared" si="4"/>
        <v>10364.444444444702</v>
      </c>
      <c r="G58" s="487">
        <f t="shared" si="5"/>
        <v>8569.8110140507397</v>
      </c>
      <c r="H58" s="456">
        <f t="shared" si="6"/>
        <v>8569.8110140507397</v>
      </c>
      <c r="I58" s="476">
        <f t="shared" si="7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8"/>
        <v/>
      </c>
      <c r="C59" s="473">
        <f>IF(D11="","-",+C58+1)</f>
        <v>2060</v>
      </c>
      <c r="D59" s="484">
        <f>IF(F58+SUM(E$17:E58)=D$10,F58,D$10-SUM(E$17:E58))</f>
        <v>10364.444444444702</v>
      </c>
      <c r="E59" s="485">
        <f t="shared" si="3"/>
        <v>6712.8888888888887</v>
      </c>
      <c r="F59" s="486">
        <f t="shared" si="4"/>
        <v>3651.555555555813</v>
      </c>
      <c r="G59" s="487">
        <f t="shared" si="5"/>
        <v>7661.3194430982885</v>
      </c>
      <c r="H59" s="456">
        <f t="shared" si="6"/>
        <v>7661.3194430982885</v>
      </c>
      <c r="I59" s="476">
        <f t="shared" si="7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8"/>
        <v/>
      </c>
      <c r="C60" s="473">
        <f>IF(D11="","-",+C59+1)</f>
        <v>2061</v>
      </c>
      <c r="D60" s="484">
        <f>IF(F59+SUM(E$17:E59)=D$10,F59,D$10-SUM(E$17:E59))</f>
        <v>3651.555555555813</v>
      </c>
      <c r="E60" s="485">
        <f t="shared" si="3"/>
        <v>3651.555555555813</v>
      </c>
      <c r="F60" s="486">
        <f t="shared" si="4"/>
        <v>0</v>
      </c>
      <c r="G60" s="487">
        <f t="shared" si="5"/>
        <v>3898.6479399223999</v>
      </c>
      <c r="H60" s="456">
        <f t="shared" si="6"/>
        <v>3898.6479399223999</v>
      </c>
      <c r="I60" s="476">
        <f t="shared" si="7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8"/>
        <v/>
      </c>
      <c r="C61" s="473">
        <f>IF(D11="","-",+C60+1)</f>
        <v>2062</v>
      </c>
      <c r="D61" s="484">
        <f>IF(F60+SUM(E$17:E60)=D$10,F60,D$10-SUM(E$17:E60))</f>
        <v>0</v>
      </c>
      <c r="E61" s="485">
        <f t="shared" si="3"/>
        <v>0</v>
      </c>
      <c r="F61" s="486">
        <f t="shared" si="4"/>
        <v>0</v>
      </c>
      <c r="G61" s="487">
        <f t="shared" si="5"/>
        <v>0</v>
      </c>
      <c r="H61" s="456">
        <f t="shared" si="6"/>
        <v>0</v>
      </c>
      <c r="I61" s="476">
        <f t="shared" si="7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8"/>
        <v/>
      </c>
      <c r="C62" s="473">
        <f>IF(D11="","-",+C61+1)</f>
        <v>2063</v>
      </c>
      <c r="D62" s="484">
        <f>IF(F61+SUM(E$17:E61)=D$10,F61,D$10-SUM(E$17:E61))</f>
        <v>0</v>
      </c>
      <c r="E62" s="485">
        <f t="shared" si="3"/>
        <v>0</v>
      </c>
      <c r="F62" s="486">
        <f t="shared" si="4"/>
        <v>0</v>
      </c>
      <c r="G62" s="487">
        <f t="shared" si="5"/>
        <v>0</v>
      </c>
      <c r="H62" s="456">
        <f t="shared" si="6"/>
        <v>0</v>
      </c>
      <c r="I62" s="476">
        <f t="shared" si="7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8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3"/>
        <v>0</v>
      </c>
      <c r="F63" s="486">
        <f t="shared" si="4"/>
        <v>0</v>
      </c>
      <c r="G63" s="487">
        <f t="shared" si="5"/>
        <v>0</v>
      </c>
      <c r="H63" s="456">
        <f t="shared" si="6"/>
        <v>0</v>
      </c>
      <c r="I63" s="476">
        <f t="shared" si="7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8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3"/>
        <v>0</v>
      </c>
      <c r="F64" s="486">
        <f t="shared" si="4"/>
        <v>0</v>
      </c>
      <c r="G64" s="487">
        <f t="shared" si="5"/>
        <v>0</v>
      </c>
      <c r="H64" s="456">
        <f t="shared" si="6"/>
        <v>0</v>
      </c>
      <c r="I64" s="476">
        <f t="shared" si="7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8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3"/>
        <v>0</v>
      </c>
      <c r="F65" s="486">
        <f t="shared" si="4"/>
        <v>0</v>
      </c>
      <c r="G65" s="487">
        <f t="shared" si="5"/>
        <v>0</v>
      </c>
      <c r="H65" s="456">
        <f t="shared" si="6"/>
        <v>0</v>
      </c>
      <c r="I65" s="476">
        <f t="shared" si="7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8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3"/>
        <v>0</v>
      </c>
      <c r="F66" s="486">
        <f t="shared" si="4"/>
        <v>0</v>
      </c>
      <c r="G66" s="487">
        <f t="shared" si="5"/>
        <v>0</v>
      </c>
      <c r="H66" s="456">
        <f t="shared" si="6"/>
        <v>0</v>
      </c>
      <c r="I66" s="476">
        <f t="shared" si="7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8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3"/>
        <v>0</v>
      </c>
      <c r="F67" s="486">
        <f t="shared" si="4"/>
        <v>0</v>
      </c>
      <c r="G67" s="487">
        <f t="shared" si="5"/>
        <v>0</v>
      </c>
      <c r="H67" s="456">
        <f t="shared" si="6"/>
        <v>0</v>
      </c>
      <c r="I67" s="476">
        <f t="shared" si="7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8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3"/>
        <v>0</v>
      </c>
      <c r="F68" s="486">
        <f t="shared" si="4"/>
        <v>0</v>
      </c>
      <c r="G68" s="487">
        <f t="shared" si="5"/>
        <v>0</v>
      </c>
      <c r="H68" s="456">
        <f t="shared" si="6"/>
        <v>0</v>
      </c>
      <c r="I68" s="476">
        <f t="shared" si="7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8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3"/>
        <v>0</v>
      </c>
      <c r="F69" s="486">
        <f t="shared" si="4"/>
        <v>0</v>
      </c>
      <c r="G69" s="487">
        <f t="shared" si="5"/>
        <v>0</v>
      </c>
      <c r="H69" s="456">
        <f t="shared" si="6"/>
        <v>0</v>
      </c>
      <c r="I69" s="476">
        <f t="shared" si="7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8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3"/>
        <v>0</v>
      </c>
      <c r="F70" s="486">
        <f t="shared" si="4"/>
        <v>0</v>
      </c>
      <c r="G70" s="487">
        <f t="shared" si="5"/>
        <v>0</v>
      </c>
      <c r="H70" s="456">
        <f t="shared" si="6"/>
        <v>0</v>
      </c>
      <c r="I70" s="476">
        <f t="shared" si="7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8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3"/>
        <v>0</v>
      </c>
      <c r="F71" s="486">
        <f t="shared" si="4"/>
        <v>0</v>
      </c>
      <c r="G71" s="487">
        <f t="shared" si="5"/>
        <v>0</v>
      </c>
      <c r="H71" s="456">
        <f t="shared" si="6"/>
        <v>0</v>
      </c>
      <c r="I71" s="476">
        <f t="shared" si="7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8"/>
        <v/>
      </c>
      <c r="C72" s="490">
        <f>IF(D11="","-",+C71+1)</f>
        <v>2073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302079.99999999994</v>
      </c>
      <c r="F73" s="348"/>
      <c r="G73" s="348">
        <f>SUM(G17:G72)</f>
        <v>1217855.5371917689</v>
      </c>
      <c r="H73" s="348">
        <f>SUM(H17:H72)</f>
        <v>1217855.5371917689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25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73419.565193351213</v>
      </c>
      <c r="N87" s="509">
        <f>IF(J92&lt;D11,0,VLOOKUP(J92,C17:O72,11))</f>
        <v>73419.565193351213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36105.110400173638</v>
      </c>
      <c r="N88" s="513">
        <f>IF(J92&lt;D11,0,VLOOKUP(J92,C99:P154,7))</f>
        <v>36105.110400173638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Fort Towson-Valliant Line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-37314.454793177574</v>
      </c>
      <c r="N89" s="518">
        <f>+N88-N87</f>
        <v>-37314.454793177574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TP2015204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288860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7045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3512.5</v>
      </c>
      <c r="F99" s="585">
        <v>298567.5</v>
      </c>
      <c r="G99" s="609">
        <v>149283.75</v>
      </c>
      <c r="H99" s="588">
        <v>18849.250674297917</v>
      </c>
      <c r="I99" s="608">
        <v>18849.250674297917</v>
      </c>
      <c r="J99" s="479">
        <f>+I99-H99</f>
        <v>0</v>
      </c>
      <c r="K99" s="479"/>
      <c r="L99" s="478">
        <f>+H99</f>
        <v>18849.250674297917</v>
      </c>
      <c r="M99" s="478">
        <f t="shared" ref="M99" si="9">IF(L99&lt;&gt;0,+H99-L99,0)</f>
        <v>0</v>
      </c>
      <c r="N99" s="478">
        <f>+I99</f>
        <v>18849.250674297917</v>
      </c>
      <c r="O99" s="478">
        <f t="shared" ref="O99" si="10">IF(N99&lt;&gt;0,+I99-N99,0)</f>
        <v>0</v>
      </c>
      <c r="P99" s="478">
        <f t="shared" ref="P99" si="11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347">
        <f>IF(F99+SUM(E$99:E99)=D$92,F99,D$92-SUM(E$99:E99))</f>
        <v>285347.5</v>
      </c>
      <c r="E100" s="485">
        <f>IF(+J$96&lt;F99,J$96,D100)</f>
        <v>7045</v>
      </c>
      <c r="F100" s="486">
        <f>+D100-E100</f>
        <v>278302.5</v>
      </c>
      <c r="G100" s="486">
        <f>+(F100+D100)/2</f>
        <v>281825</v>
      </c>
      <c r="H100" s="614">
        <f t="shared" ref="H100:H154" si="12">+J$94*G100+E100</f>
        <v>36105.110400173638</v>
      </c>
      <c r="I100" s="615">
        <f t="shared" ref="I100:I154" si="13">+J$95*G100+E100</f>
        <v>36105.110400173638</v>
      </c>
      <c r="J100" s="479">
        <f t="shared" ref="J100:J130" si="14">+I100-H100</f>
        <v>0</v>
      </c>
      <c r="K100" s="479"/>
      <c r="L100" s="488"/>
      <c r="M100" s="479">
        <f t="shared" ref="M100:M130" si="15">IF(L100&lt;&gt;0,+H100-L100,0)</f>
        <v>0</v>
      </c>
      <c r="N100" s="488"/>
      <c r="O100" s="479">
        <f t="shared" ref="O100:O130" si="16">IF(N100&lt;&gt;0,+I100-N100,0)</f>
        <v>0</v>
      </c>
      <c r="P100" s="479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3">
        <f>IF(D93="","-",+C100+1)</f>
        <v>2020</v>
      </c>
      <c r="D101" s="347">
        <f>IF(F100+SUM(E$99:E100)=D$92,F100,D$92-SUM(E$99:E100))</f>
        <v>278302.5</v>
      </c>
      <c r="E101" s="485">
        <f t="shared" ref="E101:E154" si="19">IF(+J$96&lt;F100,J$96,D101)</f>
        <v>7045</v>
      </c>
      <c r="F101" s="486">
        <f t="shared" ref="F101:F154" si="20">+D101-E101</f>
        <v>271257.5</v>
      </c>
      <c r="G101" s="486">
        <f t="shared" ref="G101:G154" si="21">+(F101+D101)/2</f>
        <v>274780</v>
      </c>
      <c r="H101" s="614">
        <f t="shared" si="12"/>
        <v>35378.672086435603</v>
      </c>
      <c r="I101" s="615">
        <f t="shared" si="13"/>
        <v>35378.672086435603</v>
      </c>
      <c r="J101" s="479">
        <f t="shared" si="14"/>
        <v>0</v>
      </c>
      <c r="K101" s="479"/>
      <c r="L101" s="488"/>
      <c r="M101" s="479">
        <f t="shared" si="15"/>
        <v>0</v>
      </c>
      <c r="N101" s="488"/>
      <c r="O101" s="479">
        <f t="shared" si="16"/>
        <v>0</v>
      </c>
      <c r="P101" s="479">
        <f t="shared" si="17"/>
        <v>0</v>
      </c>
    </row>
    <row r="102" spans="1:16" ht="12.5">
      <c r="B102" s="160" t="str">
        <f t="shared" si="18"/>
        <v/>
      </c>
      <c r="C102" s="473">
        <f>IF(D93="","-",+C101+1)</f>
        <v>2021</v>
      </c>
      <c r="D102" s="347">
        <f>IF(F101+SUM(E$99:E101)=D$92,F101,D$92-SUM(E$99:E101))</f>
        <v>271257.5</v>
      </c>
      <c r="E102" s="485">
        <f t="shared" si="19"/>
        <v>7045</v>
      </c>
      <c r="F102" s="486">
        <f t="shared" si="20"/>
        <v>264212.5</v>
      </c>
      <c r="G102" s="486">
        <f t="shared" si="21"/>
        <v>267735</v>
      </c>
      <c r="H102" s="614">
        <f t="shared" si="12"/>
        <v>34652.23377269756</v>
      </c>
      <c r="I102" s="615">
        <f t="shared" si="13"/>
        <v>34652.23377269756</v>
      </c>
      <c r="J102" s="479">
        <f t="shared" si="14"/>
        <v>0</v>
      </c>
      <c r="K102" s="479"/>
      <c r="L102" s="488"/>
      <c r="M102" s="479">
        <f t="shared" si="15"/>
        <v>0</v>
      </c>
      <c r="N102" s="488"/>
      <c r="O102" s="479">
        <f t="shared" si="16"/>
        <v>0</v>
      </c>
      <c r="P102" s="479">
        <f t="shared" si="17"/>
        <v>0</v>
      </c>
    </row>
    <row r="103" spans="1:16" ht="12.5">
      <c r="B103" s="160" t="str">
        <f t="shared" si="18"/>
        <v/>
      </c>
      <c r="C103" s="473">
        <f>IF(D93="","-",+C102+1)</f>
        <v>2022</v>
      </c>
      <c r="D103" s="347">
        <f>IF(F102+SUM(E$99:E102)=D$92,F102,D$92-SUM(E$99:E102))</f>
        <v>264212.5</v>
      </c>
      <c r="E103" s="485">
        <f t="shared" si="19"/>
        <v>7045</v>
      </c>
      <c r="F103" s="486">
        <f t="shared" si="20"/>
        <v>257167.5</v>
      </c>
      <c r="G103" s="486">
        <f t="shared" si="21"/>
        <v>260690</v>
      </c>
      <c r="H103" s="614">
        <f t="shared" si="12"/>
        <v>33925.795458959517</v>
      </c>
      <c r="I103" s="615">
        <f t="shared" si="13"/>
        <v>33925.795458959517</v>
      </c>
      <c r="J103" s="479">
        <f t="shared" si="14"/>
        <v>0</v>
      </c>
      <c r="K103" s="479"/>
      <c r="L103" s="488"/>
      <c r="M103" s="479">
        <f t="shared" si="15"/>
        <v>0</v>
      </c>
      <c r="N103" s="488"/>
      <c r="O103" s="479">
        <f t="shared" si="16"/>
        <v>0</v>
      </c>
      <c r="P103" s="479">
        <f t="shared" si="17"/>
        <v>0</v>
      </c>
    </row>
    <row r="104" spans="1:16" ht="12.5">
      <c r="B104" s="160" t="str">
        <f t="shared" si="18"/>
        <v/>
      </c>
      <c r="C104" s="473">
        <f>IF(D93="","-",+C103+1)</f>
        <v>2023</v>
      </c>
      <c r="D104" s="347">
        <f>IF(F103+SUM(E$99:E103)=D$92,F103,D$92-SUM(E$99:E103))</f>
        <v>257167.5</v>
      </c>
      <c r="E104" s="485">
        <f t="shared" si="19"/>
        <v>7045</v>
      </c>
      <c r="F104" s="486">
        <f t="shared" si="20"/>
        <v>250122.5</v>
      </c>
      <c r="G104" s="486">
        <f t="shared" si="21"/>
        <v>253645</v>
      </c>
      <c r="H104" s="614">
        <f t="shared" si="12"/>
        <v>33199.357145221482</v>
      </c>
      <c r="I104" s="615">
        <f t="shared" si="13"/>
        <v>33199.357145221482</v>
      </c>
      <c r="J104" s="479">
        <f t="shared" si="14"/>
        <v>0</v>
      </c>
      <c r="K104" s="479"/>
      <c r="L104" s="488"/>
      <c r="M104" s="479">
        <f t="shared" si="15"/>
        <v>0</v>
      </c>
      <c r="N104" s="488"/>
      <c r="O104" s="479">
        <f t="shared" si="16"/>
        <v>0</v>
      </c>
      <c r="P104" s="479">
        <f t="shared" si="17"/>
        <v>0</v>
      </c>
    </row>
    <row r="105" spans="1:16" ht="12.5">
      <c r="B105" s="160" t="str">
        <f t="shared" si="18"/>
        <v/>
      </c>
      <c r="C105" s="473">
        <f>IF(D93="","-",+C104+1)</f>
        <v>2024</v>
      </c>
      <c r="D105" s="347">
        <f>IF(F104+SUM(E$99:E104)=D$92,F104,D$92-SUM(E$99:E104))</f>
        <v>250122.5</v>
      </c>
      <c r="E105" s="485">
        <f t="shared" si="19"/>
        <v>7045</v>
      </c>
      <c r="F105" s="486">
        <f t="shared" si="20"/>
        <v>243077.5</v>
      </c>
      <c r="G105" s="486">
        <f t="shared" si="21"/>
        <v>246600</v>
      </c>
      <c r="H105" s="614">
        <f t="shared" si="12"/>
        <v>32472.918831483435</v>
      </c>
      <c r="I105" s="615">
        <f t="shared" si="13"/>
        <v>32472.918831483435</v>
      </c>
      <c r="J105" s="479">
        <f t="shared" si="14"/>
        <v>0</v>
      </c>
      <c r="K105" s="479"/>
      <c r="L105" s="488"/>
      <c r="M105" s="479">
        <f t="shared" si="15"/>
        <v>0</v>
      </c>
      <c r="N105" s="488"/>
      <c r="O105" s="479">
        <f t="shared" si="16"/>
        <v>0</v>
      </c>
      <c r="P105" s="479">
        <f t="shared" si="17"/>
        <v>0</v>
      </c>
    </row>
    <row r="106" spans="1:16" ht="12.5">
      <c r="B106" s="160" t="str">
        <f t="shared" si="18"/>
        <v/>
      </c>
      <c r="C106" s="473">
        <f>IF(D93="","-",+C105+1)</f>
        <v>2025</v>
      </c>
      <c r="D106" s="347">
        <f>IF(F105+SUM(E$99:E105)=D$92,F105,D$92-SUM(E$99:E105))</f>
        <v>243077.5</v>
      </c>
      <c r="E106" s="485">
        <f t="shared" si="19"/>
        <v>7045</v>
      </c>
      <c r="F106" s="486">
        <f t="shared" si="20"/>
        <v>236032.5</v>
      </c>
      <c r="G106" s="486">
        <f t="shared" si="21"/>
        <v>239555</v>
      </c>
      <c r="H106" s="614">
        <f t="shared" si="12"/>
        <v>31746.480517745396</v>
      </c>
      <c r="I106" s="615">
        <f t="shared" si="13"/>
        <v>31746.480517745396</v>
      </c>
      <c r="J106" s="479">
        <f t="shared" si="14"/>
        <v>0</v>
      </c>
      <c r="K106" s="479"/>
      <c r="L106" s="488"/>
      <c r="M106" s="479">
        <f t="shared" si="15"/>
        <v>0</v>
      </c>
      <c r="N106" s="488"/>
      <c r="O106" s="479">
        <f t="shared" si="16"/>
        <v>0</v>
      </c>
      <c r="P106" s="479">
        <f t="shared" si="17"/>
        <v>0</v>
      </c>
    </row>
    <row r="107" spans="1:16" ht="12.5">
      <c r="B107" s="160" t="str">
        <f t="shared" si="18"/>
        <v/>
      </c>
      <c r="C107" s="473">
        <f>IF(D93="","-",+C106+1)</f>
        <v>2026</v>
      </c>
      <c r="D107" s="347">
        <f>IF(F106+SUM(E$99:E106)=D$92,F106,D$92-SUM(E$99:E106))</f>
        <v>236032.5</v>
      </c>
      <c r="E107" s="485">
        <f t="shared" si="19"/>
        <v>7045</v>
      </c>
      <c r="F107" s="486">
        <f t="shared" si="20"/>
        <v>228987.5</v>
      </c>
      <c r="G107" s="486">
        <f t="shared" si="21"/>
        <v>232510</v>
      </c>
      <c r="H107" s="614">
        <f t="shared" si="12"/>
        <v>31020.042204007357</v>
      </c>
      <c r="I107" s="615">
        <f t="shared" si="13"/>
        <v>31020.042204007357</v>
      </c>
      <c r="J107" s="479">
        <f t="shared" si="14"/>
        <v>0</v>
      </c>
      <c r="K107" s="479"/>
      <c r="L107" s="488"/>
      <c r="M107" s="479">
        <f t="shared" si="15"/>
        <v>0</v>
      </c>
      <c r="N107" s="488"/>
      <c r="O107" s="479">
        <f t="shared" si="16"/>
        <v>0</v>
      </c>
      <c r="P107" s="479">
        <f t="shared" si="17"/>
        <v>0</v>
      </c>
    </row>
    <row r="108" spans="1:16" ht="12.5">
      <c r="B108" s="160" t="str">
        <f t="shared" si="18"/>
        <v/>
      </c>
      <c r="C108" s="473">
        <f>IF(D93="","-",+C107+1)</f>
        <v>2027</v>
      </c>
      <c r="D108" s="347">
        <f>IF(F107+SUM(E$99:E107)=D$92,F107,D$92-SUM(E$99:E107))</f>
        <v>228987.5</v>
      </c>
      <c r="E108" s="485">
        <f t="shared" si="19"/>
        <v>7045</v>
      </c>
      <c r="F108" s="486">
        <f t="shared" si="20"/>
        <v>221942.5</v>
      </c>
      <c r="G108" s="486">
        <f t="shared" si="21"/>
        <v>225465</v>
      </c>
      <c r="H108" s="614">
        <f t="shared" si="12"/>
        <v>30293.603890269314</v>
      </c>
      <c r="I108" s="615">
        <f t="shared" si="13"/>
        <v>30293.603890269314</v>
      </c>
      <c r="J108" s="479">
        <f t="shared" si="14"/>
        <v>0</v>
      </c>
      <c r="K108" s="479"/>
      <c r="L108" s="488"/>
      <c r="M108" s="479">
        <f t="shared" si="15"/>
        <v>0</v>
      </c>
      <c r="N108" s="488"/>
      <c r="O108" s="479">
        <f t="shared" si="16"/>
        <v>0</v>
      </c>
      <c r="P108" s="479">
        <f t="shared" si="17"/>
        <v>0</v>
      </c>
    </row>
    <row r="109" spans="1:16" ht="12.5">
      <c r="B109" s="160" t="str">
        <f t="shared" si="18"/>
        <v/>
      </c>
      <c r="C109" s="473">
        <f>IF(D93="","-",+C108+1)</f>
        <v>2028</v>
      </c>
      <c r="D109" s="347">
        <f>IF(F108+SUM(E$99:E108)=D$92,F108,D$92-SUM(E$99:E108))</f>
        <v>221942.5</v>
      </c>
      <c r="E109" s="485">
        <f t="shared" si="19"/>
        <v>7045</v>
      </c>
      <c r="F109" s="486">
        <f t="shared" si="20"/>
        <v>214897.5</v>
      </c>
      <c r="G109" s="486">
        <f t="shared" si="21"/>
        <v>218420</v>
      </c>
      <c r="H109" s="614">
        <f t="shared" si="12"/>
        <v>29567.165576531275</v>
      </c>
      <c r="I109" s="615">
        <f t="shared" si="13"/>
        <v>29567.165576531275</v>
      </c>
      <c r="J109" s="479">
        <f t="shared" si="14"/>
        <v>0</v>
      </c>
      <c r="K109" s="479"/>
      <c r="L109" s="488"/>
      <c r="M109" s="479">
        <f t="shared" si="15"/>
        <v>0</v>
      </c>
      <c r="N109" s="488"/>
      <c r="O109" s="479">
        <f t="shared" si="16"/>
        <v>0</v>
      </c>
      <c r="P109" s="479">
        <f t="shared" si="17"/>
        <v>0</v>
      </c>
    </row>
    <row r="110" spans="1:16" ht="12.5">
      <c r="B110" s="160" t="str">
        <f t="shared" si="18"/>
        <v/>
      </c>
      <c r="C110" s="473">
        <f>IF(D93="","-",+C109+1)</f>
        <v>2029</v>
      </c>
      <c r="D110" s="347">
        <f>IF(F109+SUM(E$99:E109)=D$92,F109,D$92-SUM(E$99:E109))</f>
        <v>214897.5</v>
      </c>
      <c r="E110" s="485">
        <f t="shared" si="19"/>
        <v>7045</v>
      </c>
      <c r="F110" s="486">
        <f t="shared" si="20"/>
        <v>207852.5</v>
      </c>
      <c r="G110" s="486">
        <f t="shared" si="21"/>
        <v>211375</v>
      </c>
      <c r="H110" s="614">
        <f t="shared" si="12"/>
        <v>28840.727262793233</v>
      </c>
      <c r="I110" s="615">
        <f t="shared" si="13"/>
        <v>28840.727262793233</v>
      </c>
      <c r="J110" s="479">
        <f t="shared" si="14"/>
        <v>0</v>
      </c>
      <c r="K110" s="479"/>
      <c r="L110" s="488"/>
      <c r="M110" s="479">
        <f t="shared" si="15"/>
        <v>0</v>
      </c>
      <c r="N110" s="488"/>
      <c r="O110" s="479">
        <f t="shared" si="16"/>
        <v>0</v>
      </c>
      <c r="P110" s="479">
        <f t="shared" si="17"/>
        <v>0</v>
      </c>
    </row>
    <row r="111" spans="1:16" ht="12.5">
      <c r="B111" s="160" t="str">
        <f t="shared" si="18"/>
        <v/>
      </c>
      <c r="C111" s="473">
        <f>IF(D93="","-",+C110+1)</f>
        <v>2030</v>
      </c>
      <c r="D111" s="347">
        <f>IF(F110+SUM(E$99:E110)=D$92,F110,D$92-SUM(E$99:E110))</f>
        <v>207852.5</v>
      </c>
      <c r="E111" s="485">
        <f t="shared" si="19"/>
        <v>7045</v>
      </c>
      <c r="F111" s="486">
        <f t="shared" si="20"/>
        <v>200807.5</v>
      </c>
      <c r="G111" s="486">
        <f t="shared" si="21"/>
        <v>204330</v>
      </c>
      <c r="H111" s="614">
        <f t="shared" si="12"/>
        <v>28114.288949055193</v>
      </c>
      <c r="I111" s="615">
        <f t="shared" si="13"/>
        <v>28114.288949055193</v>
      </c>
      <c r="J111" s="479">
        <f t="shared" si="14"/>
        <v>0</v>
      </c>
      <c r="K111" s="479"/>
      <c r="L111" s="488"/>
      <c r="M111" s="479">
        <f t="shared" si="15"/>
        <v>0</v>
      </c>
      <c r="N111" s="488"/>
      <c r="O111" s="479">
        <f t="shared" si="16"/>
        <v>0</v>
      </c>
      <c r="P111" s="479">
        <f t="shared" si="17"/>
        <v>0</v>
      </c>
    </row>
    <row r="112" spans="1:16" ht="12.5">
      <c r="B112" s="160" t="str">
        <f t="shared" si="18"/>
        <v/>
      </c>
      <c r="C112" s="473">
        <f>IF(D93="","-",+C111+1)</f>
        <v>2031</v>
      </c>
      <c r="D112" s="347">
        <f>IF(F111+SUM(E$99:E111)=D$92,F111,D$92-SUM(E$99:E111))</f>
        <v>200807.5</v>
      </c>
      <c r="E112" s="485">
        <f t="shared" si="19"/>
        <v>7045</v>
      </c>
      <c r="F112" s="486">
        <f t="shared" si="20"/>
        <v>193762.5</v>
      </c>
      <c r="G112" s="486">
        <f t="shared" si="21"/>
        <v>197285</v>
      </c>
      <c r="H112" s="614">
        <f t="shared" si="12"/>
        <v>27387.850635317154</v>
      </c>
      <c r="I112" s="615">
        <f t="shared" si="13"/>
        <v>27387.850635317154</v>
      </c>
      <c r="J112" s="479">
        <f t="shared" si="14"/>
        <v>0</v>
      </c>
      <c r="K112" s="479"/>
      <c r="L112" s="488"/>
      <c r="M112" s="479">
        <f t="shared" si="15"/>
        <v>0</v>
      </c>
      <c r="N112" s="488"/>
      <c r="O112" s="479">
        <f t="shared" si="16"/>
        <v>0</v>
      </c>
      <c r="P112" s="479">
        <f t="shared" si="17"/>
        <v>0</v>
      </c>
    </row>
    <row r="113" spans="2:16" ht="12.5">
      <c r="B113" s="160" t="str">
        <f t="shared" si="18"/>
        <v/>
      </c>
      <c r="C113" s="473">
        <f>IF(D93="","-",+C112+1)</f>
        <v>2032</v>
      </c>
      <c r="D113" s="347">
        <f>IF(F112+SUM(E$99:E112)=D$92,F112,D$92-SUM(E$99:E112))</f>
        <v>193762.5</v>
      </c>
      <c r="E113" s="485">
        <f t="shared" si="19"/>
        <v>7045</v>
      </c>
      <c r="F113" s="486">
        <f t="shared" si="20"/>
        <v>186717.5</v>
      </c>
      <c r="G113" s="486">
        <f t="shared" si="21"/>
        <v>190240</v>
      </c>
      <c r="H113" s="614">
        <f t="shared" si="12"/>
        <v>26661.412321579111</v>
      </c>
      <c r="I113" s="615">
        <f t="shared" si="13"/>
        <v>26661.412321579111</v>
      </c>
      <c r="J113" s="479">
        <f t="shared" si="14"/>
        <v>0</v>
      </c>
      <c r="K113" s="479"/>
      <c r="L113" s="488"/>
      <c r="M113" s="479">
        <f t="shared" si="15"/>
        <v>0</v>
      </c>
      <c r="N113" s="488"/>
      <c r="O113" s="479">
        <f t="shared" si="16"/>
        <v>0</v>
      </c>
      <c r="P113" s="479">
        <f t="shared" si="17"/>
        <v>0</v>
      </c>
    </row>
    <row r="114" spans="2:16" ht="12.5">
      <c r="B114" s="160" t="str">
        <f t="shared" si="18"/>
        <v/>
      </c>
      <c r="C114" s="473">
        <f>IF(D93="","-",+C113+1)</f>
        <v>2033</v>
      </c>
      <c r="D114" s="347">
        <f>IF(F113+SUM(E$99:E113)=D$92,F113,D$92-SUM(E$99:E113))</f>
        <v>186717.5</v>
      </c>
      <c r="E114" s="485">
        <f t="shared" si="19"/>
        <v>7045</v>
      </c>
      <c r="F114" s="486">
        <f t="shared" si="20"/>
        <v>179672.5</v>
      </c>
      <c r="G114" s="486">
        <f t="shared" si="21"/>
        <v>183195</v>
      </c>
      <c r="H114" s="614">
        <f t="shared" si="12"/>
        <v>25934.974007841072</v>
      </c>
      <c r="I114" s="615">
        <f t="shared" si="13"/>
        <v>25934.974007841072</v>
      </c>
      <c r="J114" s="479">
        <f t="shared" si="14"/>
        <v>0</v>
      </c>
      <c r="K114" s="479"/>
      <c r="L114" s="488"/>
      <c r="M114" s="479">
        <f t="shared" si="15"/>
        <v>0</v>
      </c>
      <c r="N114" s="488"/>
      <c r="O114" s="479">
        <f t="shared" si="16"/>
        <v>0</v>
      </c>
      <c r="P114" s="479">
        <f t="shared" si="17"/>
        <v>0</v>
      </c>
    </row>
    <row r="115" spans="2:16" ht="12.5">
      <c r="B115" s="160" t="str">
        <f t="shared" si="18"/>
        <v/>
      </c>
      <c r="C115" s="473">
        <f>IF(D93="","-",+C114+1)</f>
        <v>2034</v>
      </c>
      <c r="D115" s="347">
        <f>IF(F114+SUM(E$99:E114)=D$92,F114,D$92-SUM(E$99:E114))</f>
        <v>179672.5</v>
      </c>
      <c r="E115" s="485">
        <f t="shared" si="19"/>
        <v>7045</v>
      </c>
      <c r="F115" s="486">
        <f t="shared" si="20"/>
        <v>172627.5</v>
      </c>
      <c r="G115" s="486">
        <f t="shared" si="21"/>
        <v>176150</v>
      </c>
      <c r="H115" s="614">
        <f t="shared" si="12"/>
        <v>25208.53569410303</v>
      </c>
      <c r="I115" s="615">
        <f t="shared" si="13"/>
        <v>25208.53569410303</v>
      </c>
      <c r="J115" s="479">
        <f t="shared" si="14"/>
        <v>0</v>
      </c>
      <c r="K115" s="479"/>
      <c r="L115" s="488"/>
      <c r="M115" s="479">
        <f t="shared" si="15"/>
        <v>0</v>
      </c>
      <c r="N115" s="488"/>
      <c r="O115" s="479">
        <f t="shared" si="16"/>
        <v>0</v>
      </c>
      <c r="P115" s="479">
        <f t="shared" si="17"/>
        <v>0</v>
      </c>
    </row>
    <row r="116" spans="2:16" ht="12.5">
      <c r="B116" s="160" t="str">
        <f t="shared" si="18"/>
        <v/>
      </c>
      <c r="C116" s="473">
        <f>IF(D93="","-",+C115+1)</f>
        <v>2035</v>
      </c>
      <c r="D116" s="347">
        <f>IF(F115+SUM(E$99:E115)=D$92,F115,D$92-SUM(E$99:E115))</f>
        <v>172627.5</v>
      </c>
      <c r="E116" s="485">
        <f t="shared" si="19"/>
        <v>7045</v>
      </c>
      <c r="F116" s="486">
        <f t="shared" si="20"/>
        <v>165582.5</v>
      </c>
      <c r="G116" s="486">
        <f t="shared" si="21"/>
        <v>169105</v>
      </c>
      <c r="H116" s="614">
        <f t="shared" si="12"/>
        <v>24482.09738036499</v>
      </c>
      <c r="I116" s="615">
        <f t="shared" si="13"/>
        <v>24482.09738036499</v>
      </c>
      <c r="J116" s="479">
        <f t="shared" si="14"/>
        <v>0</v>
      </c>
      <c r="K116" s="479"/>
      <c r="L116" s="488"/>
      <c r="M116" s="479">
        <f t="shared" si="15"/>
        <v>0</v>
      </c>
      <c r="N116" s="488"/>
      <c r="O116" s="479">
        <f t="shared" si="16"/>
        <v>0</v>
      </c>
      <c r="P116" s="479">
        <f t="shared" si="17"/>
        <v>0</v>
      </c>
    </row>
    <row r="117" spans="2:16" ht="12.5">
      <c r="B117" s="160" t="str">
        <f t="shared" si="18"/>
        <v/>
      </c>
      <c r="C117" s="473">
        <f>IF(D93="","-",+C116+1)</f>
        <v>2036</v>
      </c>
      <c r="D117" s="347">
        <f>IF(F116+SUM(E$99:E116)=D$92,F116,D$92-SUM(E$99:E116))</f>
        <v>165582.5</v>
      </c>
      <c r="E117" s="485">
        <f t="shared" si="19"/>
        <v>7045</v>
      </c>
      <c r="F117" s="486">
        <f t="shared" si="20"/>
        <v>158537.5</v>
      </c>
      <c r="G117" s="486">
        <f t="shared" si="21"/>
        <v>162060</v>
      </c>
      <c r="H117" s="614">
        <f t="shared" si="12"/>
        <v>23755.659066626951</v>
      </c>
      <c r="I117" s="615">
        <f t="shared" si="13"/>
        <v>23755.659066626951</v>
      </c>
      <c r="J117" s="479">
        <f t="shared" si="14"/>
        <v>0</v>
      </c>
      <c r="K117" s="479"/>
      <c r="L117" s="488"/>
      <c r="M117" s="479">
        <f t="shared" si="15"/>
        <v>0</v>
      </c>
      <c r="N117" s="488"/>
      <c r="O117" s="479">
        <f t="shared" si="16"/>
        <v>0</v>
      </c>
      <c r="P117" s="479">
        <f t="shared" si="17"/>
        <v>0</v>
      </c>
    </row>
    <row r="118" spans="2:16" ht="12.5">
      <c r="B118" s="160" t="str">
        <f t="shared" si="18"/>
        <v/>
      </c>
      <c r="C118" s="473">
        <f>IF(D93="","-",+C117+1)</f>
        <v>2037</v>
      </c>
      <c r="D118" s="347">
        <f>IF(F117+SUM(E$99:E117)=D$92,F117,D$92-SUM(E$99:E117))</f>
        <v>158537.5</v>
      </c>
      <c r="E118" s="485">
        <f t="shared" si="19"/>
        <v>7045</v>
      </c>
      <c r="F118" s="486">
        <f t="shared" si="20"/>
        <v>151492.5</v>
      </c>
      <c r="G118" s="486">
        <f t="shared" si="21"/>
        <v>155015</v>
      </c>
      <c r="H118" s="614">
        <f t="shared" si="12"/>
        <v>23029.220752888908</v>
      </c>
      <c r="I118" s="615">
        <f t="shared" si="13"/>
        <v>23029.220752888908</v>
      </c>
      <c r="J118" s="479">
        <f t="shared" si="14"/>
        <v>0</v>
      </c>
      <c r="K118" s="479"/>
      <c r="L118" s="488"/>
      <c r="M118" s="479">
        <f t="shared" si="15"/>
        <v>0</v>
      </c>
      <c r="N118" s="488"/>
      <c r="O118" s="479">
        <f t="shared" si="16"/>
        <v>0</v>
      </c>
      <c r="P118" s="479">
        <f t="shared" si="17"/>
        <v>0</v>
      </c>
    </row>
    <row r="119" spans="2:16" ht="12.5">
      <c r="B119" s="160" t="str">
        <f t="shared" si="18"/>
        <v/>
      </c>
      <c r="C119" s="473">
        <f>IF(D93="","-",+C118+1)</f>
        <v>2038</v>
      </c>
      <c r="D119" s="347">
        <f>IF(F118+SUM(E$99:E118)=D$92,F118,D$92-SUM(E$99:E118))</f>
        <v>151492.5</v>
      </c>
      <c r="E119" s="485">
        <f t="shared" si="19"/>
        <v>7045</v>
      </c>
      <c r="F119" s="486">
        <f t="shared" si="20"/>
        <v>144447.5</v>
      </c>
      <c r="G119" s="486">
        <f t="shared" si="21"/>
        <v>147970</v>
      </c>
      <c r="H119" s="614">
        <f t="shared" si="12"/>
        <v>22302.782439150869</v>
      </c>
      <c r="I119" s="615">
        <f t="shared" si="13"/>
        <v>22302.782439150869</v>
      </c>
      <c r="J119" s="479">
        <f t="shared" si="14"/>
        <v>0</v>
      </c>
      <c r="K119" s="479"/>
      <c r="L119" s="488"/>
      <c r="M119" s="479">
        <f t="shared" si="15"/>
        <v>0</v>
      </c>
      <c r="N119" s="488"/>
      <c r="O119" s="479">
        <f t="shared" si="16"/>
        <v>0</v>
      </c>
      <c r="P119" s="479">
        <f t="shared" si="17"/>
        <v>0</v>
      </c>
    </row>
    <row r="120" spans="2:16" ht="12.5">
      <c r="B120" s="160" t="str">
        <f t="shared" si="18"/>
        <v/>
      </c>
      <c r="C120" s="473">
        <f>IF(D93="","-",+C119+1)</f>
        <v>2039</v>
      </c>
      <c r="D120" s="347">
        <f>IF(F119+SUM(E$99:E119)=D$92,F119,D$92-SUM(E$99:E119))</f>
        <v>144447.5</v>
      </c>
      <c r="E120" s="485">
        <f t="shared" si="19"/>
        <v>7045</v>
      </c>
      <c r="F120" s="486">
        <f t="shared" si="20"/>
        <v>137402.5</v>
      </c>
      <c r="G120" s="486">
        <f t="shared" si="21"/>
        <v>140925</v>
      </c>
      <c r="H120" s="614">
        <f t="shared" si="12"/>
        <v>21576.344125412827</v>
      </c>
      <c r="I120" s="615">
        <f t="shared" si="13"/>
        <v>21576.344125412827</v>
      </c>
      <c r="J120" s="479">
        <f t="shared" si="14"/>
        <v>0</v>
      </c>
      <c r="K120" s="479"/>
      <c r="L120" s="488"/>
      <c r="M120" s="479">
        <f t="shared" si="15"/>
        <v>0</v>
      </c>
      <c r="N120" s="488"/>
      <c r="O120" s="479">
        <f t="shared" si="16"/>
        <v>0</v>
      </c>
      <c r="P120" s="479">
        <f t="shared" si="17"/>
        <v>0</v>
      </c>
    </row>
    <row r="121" spans="2:16" ht="12.5">
      <c r="B121" s="160" t="str">
        <f t="shared" si="18"/>
        <v/>
      </c>
      <c r="C121" s="473">
        <f>IF(D93="","-",+C120+1)</f>
        <v>2040</v>
      </c>
      <c r="D121" s="347">
        <f>IF(F120+SUM(E$99:E120)=D$92,F120,D$92-SUM(E$99:E120))</f>
        <v>137402.5</v>
      </c>
      <c r="E121" s="485">
        <f t="shared" si="19"/>
        <v>7045</v>
      </c>
      <c r="F121" s="486">
        <f t="shared" si="20"/>
        <v>130357.5</v>
      </c>
      <c r="G121" s="486">
        <f t="shared" si="21"/>
        <v>133880</v>
      </c>
      <c r="H121" s="614">
        <f t="shared" si="12"/>
        <v>20849.905811674787</v>
      </c>
      <c r="I121" s="615">
        <f t="shared" si="13"/>
        <v>20849.905811674787</v>
      </c>
      <c r="J121" s="479">
        <f t="shared" si="14"/>
        <v>0</v>
      </c>
      <c r="K121" s="479"/>
      <c r="L121" s="488"/>
      <c r="M121" s="479">
        <f t="shared" si="15"/>
        <v>0</v>
      </c>
      <c r="N121" s="488"/>
      <c r="O121" s="479">
        <f t="shared" si="16"/>
        <v>0</v>
      </c>
      <c r="P121" s="479">
        <f t="shared" si="17"/>
        <v>0</v>
      </c>
    </row>
    <row r="122" spans="2:16" ht="12.5">
      <c r="B122" s="160" t="str">
        <f t="shared" si="18"/>
        <v/>
      </c>
      <c r="C122" s="473">
        <f>IF(D93="","-",+C121+1)</f>
        <v>2041</v>
      </c>
      <c r="D122" s="347">
        <f>IF(F121+SUM(E$99:E121)=D$92,F121,D$92-SUM(E$99:E121))</f>
        <v>130357.5</v>
      </c>
      <c r="E122" s="485">
        <f t="shared" si="19"/>
        <v>7045</v>
      </c>
      <c r="F122" s="486">
        <f t="shared" si="20"/>
        <v>123312.5</v>
      </c>
      <c r="G122" s="486">
        <f t="shared" si="21"/>
        <v>126835</v>
      </c>
      <c r="H122" s="614">
        <f t="shared" si="12"/>
        <v>20123.467497936748</v>
      </c>
      <c r="I122" s="615">
        <f t="shared" si="13"/>
        <v>20123.467497936748</v>
      </c>
      <c r="J122" s="479">
        <f t="shared" si="14"/>
        <v>0</v>
      </c>
      <c r="K122" s="479"/>
      <c r="L122" s="488"/>
      <c r="M122" s="479">
        <f t="shared" si="15"/>
        <v>0</v>
      </c>
      <c r="N122" s="488"/>
      <c r="O122" s="479">
        <f t="shared" si="16"/>
        <v>0</v>
      </c>
      <c r="P122" s="479">
        <f t="shared" si="17"/>
        <v>0</v>
      </c>
    </row>
    <row r="123" spans="2:16" ht="12.5">
      <c r="B123" s="160" t="str">
        <f t="shared" si="18"/>
        <v/>
      </c>
      <c r="C123" s="473">
        <f>IF(D93="","-",+C122+1)</f>
        <v>2042</v>
      </c>
      <c r="D123" s="347">
        <f>IF(F122+SUM(E$99:E122)=D$92,F122,D$92-SUM(E$99:E122))</f>
        <v>123312.5</v>
      </c>
      <c r="E123" s="485">
        <f t="shared" si="19"/>
        <v>7045</v>
      </c>
      <c r="F123" s="486">
        <f t="shared" si="20"/>
        <v>116267.5</v>
      </c>
      <c r="G123" s="486">
        <f t="shared" si="21"/>
        <v>119790</v>
      </c>
      <c r="H123" s="614">
        <f t="shared" si="12"/>
        <v>19397.029184198705</v>
      </c>
      <c r="I123" s="615">
        <f t="shared" si="13"/>
        <v>19397.029184198705</v>
      </c>
      <c r="J123" s="479">
        <f t="shared" si="14"/>
        <v>0</v>
      </c>
      <c r="K123" s="479"/>
      <c r="L123" s="488"/>
      <c r="M123" s="479">
        <f t="shared" si="15"/>
        <v>0</v>
      </c>
      <c r="N123" s="488"/>
      <c r="O123" s="479">
        <f t="shared" si="16"/>
        <v>0</v>
      </c>
      <c r="P123" s="479">
        <f t="shared" si="17"/>
        <v>0</v>
      </c>
    </row>
    <row r="124" spans="2:16" ht="12.5">
      <c r="B124" s="160" t="str">
        <f t="shared" si="18"/>
        <v/>
      </c>
      <c r="C124" s="473">
        <f>IF(D93="","-",+C123+1)</f>
        <v>2043</v>
      </c>
      <c r="D124" s="347">
        <f>IF(F123+SUM(E$99:E123)=D$92,F123,D$92-SUM(E$99:E123))</f>
        <v>116267.5</v>
      </c>
      <c r="E124" s="485">
        <f t="shared" si="19"/>
        <v>7045</v>
      </c>
      <c r="F124" s="486">
        <f t="shared" si="20"/>
        <v>109222.5</v>
      </c>
      <c r="G124" s="486">
        <f t="shared" si="21"/>
        <v>112745</v>
      </c>
      <c r="H124" s="614">
        <f t="shared" si="12"/>
        <v>18670.590870460663</v>
      </c>
      <c r="I124" s="615">
        <f t="shared" si="13"/>
        <v>18670.590870460663</v>
      </c>
      <c r="J124" s="479">
        <f t="shared" si="14"/>
        <v>0</v>
      </c>
      <c r="K124" s="479"/>
      <c r="L124" s="488"/>
      <c r="M124" s="479">
        <f t="shared" si="15"/>
        <v>0</v>
      </c>
      <c r="N124" s="488"/>
      <c r="O124" s="479">
        <f t="shared" si="16"/>
        <v>0</v>
      </c>
      <c r="P124" s="479">
        <f t="shared" si="17"/>
        <v>0</v>
      </c>
    </row>
    <row r="125" spans="2:16" ht="12.5">
      <c r="B125" s="160" t="str">
        <f t="shared" si="18"/>
        <v/>
      </c>
      <c r="C125" s="473">
        <f>IF(D93="","-",+C124+1)</f>
        <v>2044</v>
      </c>
      <c r="D125" s="347">
        <f>IF(F124+SUM(E$99:E124)=D$92,F124,D$92-SUM(E$99:E124))</f>
        <v>109222.5</v>
      </c>
      <c r="E125" s="485">
        <f t="shared" si="19"/>
        <v>7045</v>
      </c>
      <c r="F125" s="486">
        <f t="shared" si="20"/>
        <v>102177.5</v>
      </c>
      <c r="G125" s="486">
        <f t="shared" si="21"/>
        <v>105700</v>
      </c>
      <c r="H125" s="614">
        <f t="shared" si="12"/>
        <v>17944.152556722627</v>
      </c>
      <c r="I125" s="615">
        <f t="shared" si="13"/>
        <v>17944.152556722627</v>
      </c>
      <c r="J125" s="479">
        <f t="shared" si="14"/>
        <v>0</v>
      </c>
      <c r="K125" s="479"/>
      <c r="L125" s="488"/>
      <c r="M125" s="479">
        <f t="shared" si="15"/>
        <v>0</v>
      </c>
      <c r="N125" s="488"/>
      <c r="O125" s="479">
        <f t="shared" si="16"/>
        <v>0</v>
      </c>
      <c r="P125" s="479">
        <f t="shared" si="17"/>
        <v>0</v>
      </c>
    </row>
    <row r="126" spans="2:16" ht="12.5">
      <c r="B126" s="160" t="str">
        <f t="shared" si="18"/>
        <v/>
      </c>
      <c r="C126" s="473">
        <f>IF(D93="","-",+C125+1)</f>
        <v>2045</v>
      </c>
      <c r="D126" s="347">
        <f>IF(F125+SUM(E$99:E125)=D$92,F125,D$92-SUM(E$99:E125))</f>
        <v>102177.5</v>
      </c>
      <c r="E126" s="485">
        <f t="shared" si="19"/>
        <v>7045</v>
      </c>
      <c r="F126" s="486">
        <f t="shared" si="20"/>
        <v>95132.5</v>
      </c>
      <c r="G126" s="486">
        <f t="shared" si="21"/>
        <v>98655</v>
      </c>
      <c r="H126" s="614">
        <f t="shared" si="12"/>
        <v>17217.714242984584</v>
      </c>
      <c r="I126" s="615">
        <f t="shared" si="13"/>
        <v>17217.714242984584</v>
      </c>
      <c r="J126" s="479">
        <f t="shared" si="14"/>
        <v>0</v>
      </c>
      <c r="K126" s="479"/>
      <c r="L126" s="488"/>
      <c r="M126" s="479">
        <f t="shared" si="15"/>
        <v>0</v>
      </c>
      <c r="N126" s="488"/>
      <c r="O126" s="479">
        <f t="shared" si="16"/>
        <v>0</v>
      </c>
      <c r="P126" s="479">
        <f t="shared" si="17"/>
        <v>0</v>
      </c>
    </row>
    <row r="127" spans="2:16" ht="12.5">
      <c r="B127" s="160" t="str">
        <f t="shared" si="18"/>
        <v/>
      </c>
      <c r="C127" s="473">
        <f>IF(D93="","-",+C126+1)</f>
        <v>2046</v>
      </c>
      <c r="D127" s="347">
        <f>IF(F126+SUM(E$99:E126)=D$92,F126,D$92-SUM(E$99:E126))</f>
        <v>95132.5</v>
      </c>
      <c r="E127" s="485">
        <f t="shared" si="19"/>
        <v>7045</v>
      </c>
      <c r="F127" s="486">
        <f t="shared" si="20"/>
        <v>88087.5</v>
      </c>
      <c r="G127" s="486">
        <f t="shared" si="21"/>
        <v>91610</v>
      </c>
      <c r="H127" s="614">
        <f t="shared" si="12"/>
        <v>16491.275929246542</v>
      </c>
      <c r="I127" s="615">
        <f t="shared" si="13"/>
        <v>16491.275929246542</v>
      </c>
      <c r="J127" s="479">
        <f t="shared" si="14"/>
        <v>0</v>
      </c>
      <c r="K127" s="479"/>
      <c r="L127" s="488"/>
      <c r="M127" s="479">
        <f t="shared" si="15"/>
        <v>0</v>
      </c>
      <c r="N127" s="488"/>
      <c r="O127" s="479">
        <f t="shared" si="16"/>
        <v>0</v>
      </c>
      <c r="P127" s="479">
        <f t="shared" si="17"/>
        <v>0</v>
      </c>
    </row>
    <row r="128" spans="2:16" ht="12.5">
      <c r="B128" s="160" t="str">
        <f t="shared" si="18"/>
        <v/>
      </c>
      <c r="C128" s="473">
        <f>IF(D93="","-",+C127+1)</f>
        <v>2047</v>
      </c>
      <c r="D128" s="347">
        <f>IF(F127+SUM(E$99:E127)=D$92,F127,D$92-SUM(E$99:E127))</f>
        <v>88087.5</v>
      </c>
      <c r="E128" s="485">
        <f t="shared" si="19"/>
        <v>7045</v>
      </c>
      <c r="F128" s="486">
        <f t="shared" si="20"/>
        <v>81042.5</v>
      </c>
      <c r="G128" s="486">
        <f t="shared" si="21"/>
        <v>84565</v>
      </c>
      <c r="H128" s="614">
        <f t="shared" si="12"/>
        <v>15764.837615508502</v>
      </c>
      <c r="I128" s="615">
        <f t="shared" si="13"/>
        <v>15764.837615508502</v>
      </c>
      <c r="J128" s="479">
        <f t="shared" si="14"/>
        <v>0</v>
      </c>
      <c r="K128" s="479"/>
      <c r="L128" s="488"/>
      <c r="M128" s="479">
        <f t="shared" si="15"/>
        <v>0</v>
      </c>
      <c r="N128" s="488"/>
      <c r="O128" s="479">
        <f t="shared" si="16"/>
        <v>0</v>
      </c>
      <c r="P128" s="479">
        <f t="shared" si="17"/>
        <v>0</v>
      </c>
    </row>
    <row r="129" spans="2:16" ht="12.5">
      <c r="B129" s="160" t="str">
        <f t="shared" si="18"/>
        <v/>
      </c>
      <c r="C129" s="473">
        <f>IF(D93="","-",+C128+1)</f>
        <v>2048</v>
      </c>
      <c r="D129" s="347">
        <f>IF(F128+SUM(E$99:E128)=D$92,F128,D$92-SUM(E$99:E128))</f>
        <v>81042.5</v>
      </c>
      <c r="E129" s="485">
        <f t="shared" si="19"/>
        <v>7045</v>
      </c>
      <c r="F129" s="486">
        <f t="shared" si="20"/>
        <v>73997.5</v>
      </c>
      <c r="G129" s="486">
        <f t="shared" si="21"/>
        <v>77520</v>
      </c>
      <c r="H129" s="614">
        <f t="shared" si="12"/>
        <v>15038.399301770463</v>
      </c>
      <c r="I129" s="615">
        <f t="shared" si="13"/>
        <v>15038.399301770463</v>
      </c>
      <c r="J129" s="479">
        <f t="shared" si="14"/>
        <v>0</v>
      </c>
      <c r="K129" s="479"/>
      <c r="L129" s="488"/>
      <c r="M129" s="479">
        <f t="shared" si="15"/>
        <v>0</v>
      </c>
      <c r="N129" s="488"/>
      <c r="O129" s="479">
        <f t="shared" si="16"/>
        <v>0</v>
      </c>
      <c r="P129" s="479">
        <f t="shared" si="17"/>
        <v>0</v>
      </c>
    </row>
    <row r="130" spans="2:16" ht="12.5">
      <c r="B130" s="160" t="str">
        <f t="shared" si="18"/>
        <v/>
      </c>
      <c r="C130" s="473">
        <f>IF(D93="","-",+C129+1)</f>
        <v>2049</v>
      </c>
      <c r="D130" s="347">
        <f>IF(F129+SUM(E$99:E129)=D$92,F129,D$92-SUM(E$99:E129))</f>
        <v>73997.5</v>
      </c>
      <c r="E130" s="485">
        <f t="shared" si="19"/>
        <v>7045</v>
      </c>
      <c r="F130" s="486">
        <f t="shared" si="20"/>
        <v>66952.5</v>
      </c>
      <c r="G130" s="486">
        <f t="shared" si="21"/>
        <v>70475</v>
      </c>
      <c r="H130" s="614">
        <f t="shared" si="12"/>
        <v>14311.960988032421</v>
      </c>
      <c r="I130" s="615">
        <f t="shared" si="13"/>
        <v>14311.960988032421</v>
      </c>
      <c r="J130" s="479">
        <f t="shared" si="14"/>
        <v>0</v>
      </c>
      <c r="K130" s="479"/>
      <c r="L130" s="488"/>
      <c r="M130" s="479">
        <f t="shared" si="15"/>
        <v>0</v>
      </c>
      <c r="N130" s="488"/>
      <c r="O130" s="479">
        <f t="shared" si="16"/>
        <v>0</v>
      </c>
      <c r="P130" s="479">
        <f t="shared" si="17"/>
        <v>0</v>
      </c>
    </row>
    <row r="131" spans="2:16" ht="12.5">
      <c r="B131" s="160" t="str">
        <f t="shared" si="18"/>
        <v/>
      </c>
      <c r="C131" s="473">
        <f>IF(D93="","-",+C130+1)</f>
        <v>2050</v>
      </c>
      <c r="D131" s="347">
        <f>IF(F130+SUM(E$99:E130)=D$92,F130,D$92-SUM(E$99:E130))</f>
        <v>66952.5</v>
      </c>
      <c r="E131" s="485">
        <f t="shared" si="19"/>
        <v>7045</v>
      </c>
      <c r="F131" s="486">
        <f t="shared" si="20"/>
        <v>59907.5</v>
      </c>
      <c r="G131" s="486">
        <f t="shared" si="21"/>
        <v>63430</v>
      </c>
      <c r="H131" s="614">
        <f t="shared" si="12"/>
        <v>13585.522674294381</v>
      </c>
      <c r="I131" s="615">
        <f t="shared" si="13"/>
        <v>13585.522674294381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8"/>
        <v/>
      </c>
      <c r="C132" s="473">
        <f>IF(D93="","-",+C131+1)</f>
        <v>2051</v>
      </c>
      <c r="D132" s="347">
        <f>IF(F131+SUM(E$99:E131)=D$92,F131,D$92-SUM(E$99:E131))</f>
        <v>59907.5</v>
      </c>
      <c r="E132" s="485">
        <f t="shared" si="19"/>
        <v>7045</v>
      </c>
      <c r="F132" s="486">
        <f t="shared" si="20"/>
        <v>52862.5</v>
      </c>
      <c r="G132" s="486">
        <f t="shared" si="21"/>
        <v>56385</v>
      </c>
      <c r="H132" s="614">
        <f t="shared" si="12"/>
        <v>12859.08436055634</v>
      </c>
      <c r="I132" s="615">
        <f t="shared" si="13"/>
        <v>12859.08436055634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8"/>
        <v/>
      </c>
      <c r="C133" s="473">
        <f>IF(D93="","-",+C132+1)</f>
        <v>2052</v>
      </c>
      <c r="D133" s="347">
        <f>IF(F132+SUM(E$99:E132)=D$92,F132,D$92-SUM(E$99:E132))</f>
        <v>52862.5</v>
      </c>
      <c r="E133" s="485">
        <f t="shared" si="19"/>
        <v>7045</v>
      </c>
      <c r="F133" s="486">
        <f t="shared" si="20"/>
        <v>45817.5</v>
      </c>
      <c r="G133" s="486">
        <f t="shared" si="21"/>
        <v>49340</v>
      </c>
      <c r="H133" s="614">
        <f t="shared" si="12"/>
        <v>12132.6460468183</v>
      </c>
      <c r="I133" s="615">
        <f t="shared" si="13"/>
        <v>12132.6460468183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8"/>
        <v/>
      </c>
      <c r="C134" s="473">
        <f>IF(D93="","-",+C133+1)</f>
        <v>2053</v>
      </c>
      <c r="D134" s="347">
        <f>IF(F133+SUM(E$99:E133)=D$92,F133,D$92-SUM(E$99:E133))</f>
        <v>45817.5</v>
      </c>
      <c r="E134" s="485">
        <f t="shared" si="19"/>
        <v>7045</v>
      </c>
      <c r="F134" s="486">
        <f t="shared" si="20"/>
        <v>38772.5</v>
      </c>
      <c r="G134" s="486">
        <f t="shared" si="21"/>
        <v>42295</v>
      </c>
      <c r="H134" s="614">
        <f t="shared" si="12"/>
        <v>11406.20773308026</v>
      </c>
      <c r="I134" s="615">
        <f t="shared" si="13"/>
        <v>11406.20773308026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8"/>
        <v/>
      </c>
      <c r="C135" s="473">
        <f>IF(D93="","-",+C134+1)</f>
        <v>2054</v>
      </c>
      <c r="D135" s="347">
        <f>IF(F134+SUM(E$99:E134)=D$92,F134,D$92-SUM(E$99:E134))</f>
        <v>38772.5</v>
      </c>
      <c r="E135" s="485">
        <f t="shared" si="19"/>
        <v>7045</v>
      </c>
      <c r="F135" s="486">
        <f t="shared" si="20"/>
        <v>31727.5</v>
      </c>
      <c r="G135" s="486">
        <f t="shared" si="21"/>
        <v>35250</v>
      </c>
      <c r="H135" s="614">
        <f t="shared" si="12"/>
        <v>10679.769419342219</v>
      </c>
      <c r="I135" s="615">
        <f t="shared" si="13"/>
        <v>10679.769419342219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8"/>
        <v/>
      </c>
      <c r="C136" s="473">
        <f>IF(D93="","-",+C135+1)</f>
        <v>2055</v>
      </c>
      <c r="D136" s="347">
        <f>IF(F135+SUM(E$99:E135)=D$92,F135,D$92-SUM(E$99:E135))</f>
        <v>31727.5</v>
      </c>
      <c r="E136" s="485">
        <f t="shared" si="19"/>
        <v>7045</v>
      </c>
      <c r="F136" s="486">
        <f t="shared" si="20"/>
        <v>24682.5</v>
      </c>
      <c r="G136" s="486">
        <f t="shared" si="21"/>
        <v>28205</v>
      </c>
      <c r="H136" s="614">
        <f t="shared" si="12"/>
        <v>9953.3311056041784</v>
      </c>
      <c r="I136" s="615">
        <f t="shared" si="13"/>
        <v>9953.3311056041784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8"/>
        <v/>
      </c>
      <c r="C137" s="473">
        <f>IF(D93="","-",+C136+1)</f>
        <v>2056</v>
      </c>
      <c r="D137" s="347">
        <f>IF(F136+SUM(E$99:E136)=D$92,F136,D$92-SUM(E$99:E136))</f>
        <v>24682.5</v>
      </c>
      <c r="E137" s="485">
        <f t="shared" si="19"/>
        <v>7045</v>
      </c>
      <c r="F137" s="486">
        <f t="shared" si="20"/>
        <v>17637.5</v>
      </c>
      <c r="G137" s="486">
        <f t="shared" si="21"/>
        <v>21160</v>
      </c>
      <c r="H137" s="614">
        <f t="shared" si="12"/>
        <v>9226.8927918661375</v>
      </c>
      <c r="I137" s="615">
        <f t="shared" si="13"/>
        <v>9226.8927918661375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8"/>
        <v/>
      </c>
      <c r="C138" s="473">
        <f>IF(D93="","-",+C137+1)</f>
        <v>2057</v>
      </c>
      <c r="D138" s="347">
        <f>IF(F137+SUM(E$99:E137)=D$92,F137,D$92-SUM(E$99:E137))</f>
        <v>17637.5</v>
      </c>
      <c r="E138" s="485">
        <f t="shared" si="19"/>
        <v>7045</v>
      </c>
      <c r="F138" s="486">
        <f t="shared" si="20"/>
        <v>10592.5</v>
      </c>
      <c r="G138" s="486">
        <f t="shared" si="21"/>
        <v>14115</v>
      </c>
      <c r="H138" s="614">
        <f t="shared" si="12"/>
        <v>8500.4544781280965</v>
      </c>
      <c r="I138" s="615">
        <f t="shared" si="13"/>
        <v>8500.4544781280965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8"/>
        <v/>
      </c>
      <c r="C139" s="473">
        <f>IF(D93="","-",+C138+1)</f>
        <v>2058</v>
      </c>
      <c r="D139" s="347">
        <f>IF(F138+SUM(E$99:E138)=D$92,F138,D$92-SUM(E$99:E138))</f>
        <v>10592.5</v>
      </c>
      <c r="E139" s="485">
        <f t="shared" si="19"/>
        <v>7045</v>
      </c>
      <c r="F139" s="486">
        <f t="shared" si="20"/>
        <v>3547.5</v>
      </c>
      <c r="G139" s="486">
        <f t="shared" si="21"/>
        <v>7070</v>
      </c>
      <c r="H139" s="614">
        <f t="shared" si="12"/>
        <v>7774.0161643900565</v>
      </c>
      <c r="I139" s="615">
        <f t="shared" si="13"/>
        <v>7774.0161643900565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8"/>
        <v/>
      </c>
      <c r="C140" s="473">
        <f>IF(D93="","-",+C139+1)</f>
        <v>2059</v>
      </c>
      <c r="D140" s="347">
        <f>IF(F139+SUM(E$99:E139)=D$92,F139,D$92-SUM(E$99:E139))</f>
        <v>3547.5</v>
      </c>
      <c r="E140" s="485">
        <f t="shared" si="19"/>
        <v>3547.5</v>
      </c>
      <c r="F140" s="486">
        <f t="shared" si="20"/>
        <v>0</v>
      </c>
      <c r="G140" s="486">
        <f t="shared" si="21"/>
        <v>1773.75</v>
      </c>
      <c r="H140" s="614">
        <f t="shared" si="12"/>
        <v>3730.398503760518</v>
      </c>
      <c r="I140" s="615">
        <f t="shared" si="13"/>
        <v>3730.398503760518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8"/>
        <v/>
      </c>
      <c r="C141" s="473">
        <f>IF(D93="","-",+C140+1)</f>
        <v>2060</v>
      </c>
      <c r="D141" s="347">
        <f>IF(F140+SUM(E$99:E140)=D$92,F140,D$92-SUM(E$99:E140))</f>
        <v>0</v>
      </c>
      <c r="E141" s="485">
        <f t="shared" si="19"/>
        <v>0</v>
      </c>
      <c r="F141" s="486">
        <f t="shared" si="20"/>
        <v>0</v>
      </c>
      <c r="G141" s="486">
        <f t="shared" si="21"/>
        <v>0</v>
      </c>
      <c r="H141" s="614">
        <f t="shared" si="12"/>
        <v>0</v>
      </c>
      <c r="I141" s="615">
        <f t="shared" si="13"/>
        <v>0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8"/>
        <v/>
      </c>
      <c r="C142" s="473">
        <f>IF(D93="","-",+C141+1)</f>
        <v>2061</v>
      </c>
      <c r="D142" s="347">
        <f>IF(F141+SUM(E$99:E141)=D$92,F141,D$92-SUM(E$99:E141))</f>
        <v>0</v>
      </c>
      <c r="E142" s="485">
        <f t="shared" si="19"/>
        <v>0</v>
      </c>
      <c r="F142" s="486">
        <f t="shared" si="20"/>
        <v>0</v>
      </c>
      <c r="G142" s="486">
        <f t="shared" si="21"/>
        <v>0</v>
      </c>
      <c r="H142" s="614">
        <f t="shared" si="12"/>
        <v>0</v>
      </c>
      <c r="I142" s="615">
        <f t="shared" si="13"/>
        <v>0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8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9"/>
        <v>0</v>
      </c>
      <c r="F143" s="486">
        <f t="shared" si="20"/>
        <v>0</v>
      </c>
      <c r="G143" s="486">
        <f t="shared" si="21"/>
        <v>0</v>
      </c>
      <c r="H143" s="614">
        <f t="shared" si="12"/>
        <v>0</v>
      </c>
      <c r="I143" s="615">
        <f t="shared" si="13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8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9"/>
        <v>0</v>
      </c>
      <c r="F144" s="486">
        <f t="shared" si="20"/>
        <v>0</v>
      </c>
      <c r="G144" s="486">
        <f t="shared" si="21"/>
        <v>0</v>
      </c>
      <c r="H144" s="614">
        <f t="shared" si="12"/>
        <v>0</v>
      </c>
      <c r="I144" s="615">
        <f t="shared" si="13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8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9"/>
        <v>0</v>
      </c>
      <c r="F145" s="486">
        <f t="shared" si="20"/>
        <v>0</v>
      </c>
      <c r="G145" s="486">
        <f t="shared" si="21"/>
        <v>0</v>
      </c>
      <c r="H145" s="614">
        <f t="shared" si="12"/>
        <v>0</v>
      </c>
      <c r="I145" s="615">
        <f t="shared" si="13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8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9"/>
        <v>0</v>
      </c>
      <c r="F146" s="486">
        <f t="shared" si="20"/>
        <v>0</v>
      </c>
      <c r="G146" s="486">
        <f t="shared" si="21"/>
        <v>0</v>
      </c>
      <c r="H146" s="614">
        <f t="shared" si="12"/>
        <v>0</v>
      </c>
      <c r="I146" s="615">
        <f t="shared" si="13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8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9"/>
        <v>0</v>
      </c>
      <c r="F147" s="486">
        <f t="shared" si="20"/>
        <v>0</v>
      </c>
      <c r="G147" s="486">
        <f t="shared" si="21"/>
        <v>0</v>
      </c>
      <c r="H147" s="614">
        <f t="shared" si="12"/>
        <v>0</v>
      </c>
      <c r="I147" s="615">
        <f t="shared" si="13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8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9"/>
        <v>0</v>
      </c>
      <c r="F148" s="486">
        <f t="shared" si="20"/>
        <v>0</v>
      </c>
      <c r="G148" s="486">
        <f t="shared" si="21"/>
        <v>0</v>
      </c>
      <c r="H148" s="614">
        <f t="shared" si="12"/>
        <v>0</v>
      </c>
      <c r="I148" s="615">
        <f t="shared" si="13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8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9"/>
        <v>0</v>
      </c>
      <c r="F149" s="486">
        <f t="shared" si="20"/>
        <v>0</v>
      </c>
      <c r="G149" s="486">
        <f t="shared" si="21"/>
        <v>0</v>
      </c>
      <c r="H149" s="614">
        <f t="shared" si="12"/>
        <v>0</v>
      </c>
      <c r="I149" s="615">
        <f t="shared" si="13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8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9"/>
        <v>0</v>
      </c>
      <c r="F150" s="486">
        <f t="shared" si="20"/>
        <v>0</v>
      </c>
      <c r="G150" s="486">
        <f t="shared" si="21"/>
        <v>0</v>
      </c>
      <c r="H150" s="614">
        <f t="shared" si="12"/>
        <v>0</v>
      </c>
      <c r="I150" s="615">
        <f t="shared" si="13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8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9"/>
        <v>0</v>
      </c>
      <c r="F151" s="486">
        <f t="shared" si="20"/>
        <v>0</v>
      </c>
      <c r="G151" s="486">
        <f t="shared" si="21"/>
        <v>0</v>
      </c>
      <c r="H151" s="614">
        <f t="shared" si="12"/>
        <v>0</v>
      </c>
      <c r="I151" s="615">
        <f t="shared" si="13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8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9"/>
        <v>0</v>
      </c>
      <c r="F152" s="486">
        <f t="shared" si="20"/>
        <v>0</v>
      </c>
      <c r="G152" s="486">
        <f t="shared" si="21"/>
        <v>0</v>
      </c>
      <c r="H152" s="614">
        <f t="shared" si="12"/>
        <v>0</v>
      </c>
      <c r="I152" s="615">
        <f t="shared" si="13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8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9"/>
        <v>0</v>
      </c>
      <c r="F153" s="486">
        <f t="shared" si="20"/>
        <v>0</v>
      </c>
      <c r="G153" s="486">
        <f t="shared" si="21"/>
        <v>0</v>
      </c>
      <c r="H153" s="614">
        <f t="shared" si="12"/>
        <v>0</v>
      </c>
      <c r="I153" s="615">
        <f t="shared" si="13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8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9"/>
        <v>0</v>
      </c>
      <c r="F154" s="491">
        <f t="shared" si="20"/>
        <v>0</v>
      </c>
      <c r="G154" s="491">
        <f t="shared" si="21"/>
        <v>0</v>
      </c>
      <c r="H154" s="616">
        <f t="shared" si="12"/>
        <v>0</v>
      </c>
      <c r="I154" s="617">
        <f t="shared" si="13"/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288860</v>
      </c>
      <c r="F155" s="348"/>
      <c r="G155" s="348"/>
      <c r="H155" s="348">
        <f>SUM(H99:H154)</f>
        <v>900162.18046933238</v>
      </c>
      <c r="I155" s="348">
        <f>SUM(I99:I154)</f>
        <v>900162.18046933238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topLeftCell="E1" zoomScale="86" zoomScaleNormal="86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26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280481.45781944925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280481.45781944925</v>
      </c>
      <c r="O6" s="233"/>
      <c r="P6" s="233"/>
    </row>
    <row r="7" spans="1:16" ht="13.5" thickBot="1">
      <c r="C7" s="432" t="s">
        <v>46</v>
      </c>
      <c r="D7" s="104" t="s">
        <v>347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350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7022000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2019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156044.44444444444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2019</v>
      </c>
      <c r="D17" s="347">
        <v>0</v>
      </c>
      <c r="E17" s="620">
        <v>0</v>
      </c>
      <c r="F17" s="486">
        <v>5024000</v>
      </c>
      <c r="G17" s="620">
        <v>280481.45781944925</v>
      </c>
      <c r="H17" s="456">
        <v>280481.45781944925</v>
      </c>
      <c r="I17" s="476">
        <f>H17-G17</f>
        <v>0</v>
      </c>
      <c r="J17" s="476"/>
      <c r="K17" s="555">
        <f>+G17</f>
        <v>280481.45781944925</v>
      </c>
      <c r="L17" s="478">
        <f t="shared" ref="L17" si="0">IF(K17&lt;&gt;0,+G17-K17,0)</f>
        <v>0</v>
      </c>
      <c r="M17" s="555">
        <f>+H17</f>
        <v>280481.45781944925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2020</v>
      </c>
      <c r="D18" s="484">
        <f>IF(F17+SUM(E$17:E17)=D$10,F17,D$10-SUM(E$17:E17))</f>
        <v>7022000</v>
      </c>
      <c r="E18" s="485">
        <f>IF(+I$14&lt;F17,I$14,D18)</f>
        <v>156044.44444444444</v>
      </c>
      <c r="F18" s="486">
        <f>+D18-E18</f>
        <v>6865955.555555556</v>
      </c>
      <c r="G18" s="487">
        <f>(D18+F18)/2*I$12+E18</f>
        <v>1095810.5249517635</v>
      </c>
      <c r="H18" s="456">
        <f>+(D18+F18)/2*I$13+E18</f>
        <v>1095810.5249517635</v>
      </c>
      <c r="I18" s="476">
        <f>H18-G18</f>
        <v>0</v>
      </c>
      <c r="J18" s="476"/>
      <c r="K18" s="488"/>
      <c r="L18" s="479">
        <f t="shared" ref="L18:L72" si="3">IF(K18&lt;&gt;0,+G18-K18,0)</f>
        <v>0</v>
      </c>
      <c r="M18" s="488"/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/>
      </c>
      <c r="C19" s="473">
        <f>IF(D11="","-",+C18+1)</f>
        <v>2021</v>
      </c>
      <c r="D19" s="484">
        <f>IF(F18+SUM(E$17:E18)=D$10,F18,D$10-SUM(E$17:E18))</f>
        <v>6865955.555555556</v>
      </c>
      <c r="E19" s="485">
        <f t="shared" ref="E19:E71" si="4">IF(+I$14&lt;F18,I$14,D19)</f>
        <v>156044.44444444444</v>
      </c>
      <c r="F19" s="486">
        <f t="shared" ref="F19:F71" si="5">+D19-E19</f>
        <v>6709911.1111111119</v>
      </c>
      <c r="G19" s="487">
        <f t="shared" ref="G19:G71" si="6">(D19+F19)/2*I$12+E19</f>
        <v>1074692.1860639586</v>
      </c>
      <c r="H19" s="456">
        <f t="shared" ref="H19:H71" si="7">+(D19+F19)/2*I$13+E19</f>
        <v>1074692.1860639586</v>
      </c>
      <c r="I19" s="476">
        <f t="shared" ref="I19:I71" si="8">H19-G19</f>
        <v>0</v>
      </c>
      <c r="J19" s="476"/>
      <c r="K19" s="488"/>
      <c r="L19" s="479">
        <f t="shared" si="3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9">IF(D20=F19,"","IU")</f>
        <v/>
      </c>
      <c r="C20" s="473">
        <f>IF(D11="","-",+C19+1)</f>
        <v>2022</v>
      </c>
      <c r="D20" s="484">
        <f>IF(F19+SUM(E$17:E19)=D$10,F19,D$10-SUM(E$17:E19))</f>
        <v>6709911.1111111119</v>
      </c>
      <c r="E20" s="485">
        <f t="shared" si="4"/>
        <v>156044.44444444444</v>
      </c>
      <c r="F20" s="486">
        <f t="shared" si="5"/>
        <v>6553866.6666666679</v>
      </c>
      <c r="G20" s="487">
        <f t="shared" si="6"/>
        <v>1053573.8471761537</v>
      </c>
      <c r="H20" s="456">
        <f t="shared" si="7"/>
        <v>1053573.8471761537</v>
      </c>
      <c r="I20" s="476">
        <f t="shared" si="8"/>
        <v>0</v>
      </c>
      <c r="J20" s="476"/>
      <c r="K20" s="488"/>
      <c r="L20" s="479">
        <f t="shared" si="3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9"/>
        <v/>
      </c>
      <c r="C21" s="473">
        <f>IF(D11="","-",+C20+1)</f>
        <v>2023</v>
      </c>
      <c r="D21" s="484">
        <f>IF(F20+SUM(E$17:E20)=D$10,F20,D$10-SUM(E$17:E20))</f>
        <v>6553866.6666666679</v>
      </c>
      <c r="E21" s="485">
        <f t="shared" si="4"/>
        <v>156044.44444444444</v>
      </c>
      <c r="F21" s="486">
        <f t="shared" si="5"/>
        <v>6397822.2222222239</v>
      </c>
      <c r="G21" s="487">
        <f t="shared" si="6"/>
        <v>1032455.5082883488</v>
      </c>
      <c r="H21" s="456">
        <f t="shared" si="7"/>
        <v>1032455.5082883488</v>
      </c>
      <c r="I21" s="476">
        <f t="shared" si="8"/>
        <v>0</v>
      </c>
      <c r="J21" s="476"/>
      <c r="K21" s="488"/>
      <c r="L21" s="479">
        <f t="shared" si="3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9"/>
        <v/>
      </c>
      <c r="C22" s="473">
        <f>IF(D11="","-",+C21+1)</f>
        <v>2024</v>
      </c>
      <c r="D22" s="484">
        <f>IF(F21+SUM(E$17:E21)=D$10,F21,D$10-SUM(E$17:E21))</f>
        <v>6397822.2222222239</v>
      </c>
      <c r="E22" s="485">
        <f t="shared" si="4"/>
        <v>156044.44444444444</v>
      </c>
      <c r="F22" s="486">
        <f t="shared" si="5"/>
        <v>6241777.7777777798</v>
      </c>
      <c r="G22" s="487">
        <f t="shared" si="6"/>
        <v>1011337.1694005441</v>
      </c>
      <c r="H22" s="456">
        <f t="shared" si="7"/>
        <v>1011337.1694005441</v>
      </c>
      <c r="I22" s="476">
        <f t="shared" si="8"/>
        <v>0</v>
      </c>
      <c r="J22" s="476"/>
      <c r="K22" s="488"/>
      <c r="L22" s="479">
        <f t="shared" si="3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9"/>
        <v/>
      </c>
      <c r="C23" s="473">
        <f>IF(D11="","-",+C22+1)</f>
        <v>2025</v>
      </c>
      <c r="D23" s="484">
        <f>IF(F22+SUM(E$17:E22)=D$10,F22,D$10-SUM(E$17:E22))</f>
        <v>6241777.7777777798</v>
      </c>
      <c r="E23" s="485">
        <f t="shared" si="4"/>
        <v>156044.44444444444</v>
      </c>
      <c r="F23" s="486">
        <f t="shared" si="5"/>
        <v>6085733.3333333358</v>
      </c>
      <c r="G23" s="487">
        <f t="shared" si="6"/>
        <v>990218.83051273925</v>
      </c>
      <c r="H23" s="456">
        <f t="shared" si="7"/>
        <v>990218.83051273925</v>
      </c>
      <c r="I23" s="476">
        <f t="shared" si="8"/>
        <v>0</v>
      </c>
      <c r="J23" s="476"/>
      <c r="K23" s="488"/>
      <c r="L23" s="479">
        <f t="shared" si="3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9"/>
        <v/>
      </c>
      <c r="C24" s="473">
        <f>IF(D11="","-",+C23+1)</f>
        <v>2026</v>
      </c>
      <c r="D24" s="484">
        <f>IF(F23+SUM(E$17:E23)=D$10,F23,D$10-SUM(E$17:E23))</f>
        <v>6085733.3333333358</v>
      </c>
      <c r="E24" s="485">
        <f t="shared" si="4"/>
        <v>156044.44444444444</v>
      </c>
      <c r="F24" s="486">
        <f t="shared" si="5"/>
        <v>5929688.8888888918</v>
      </c>
      <c r="G24" s="487">
        <f t="shared" si="6"/>
        <v>969100.49162493437</v>
      </c>
      <c r="H24" s="456">
        <f t="shared" si="7"/>
        <v>969100.49162493437</v>
      </c>
      <c r="I24" s="476">
        <f t="shared" si="8"/>
        <v>0</v>
      </c>
      <c r="J24" s="476"/>
      <c r="K24" s="488"/>
      <c r="L24" s="479">
        <f t="shared" si="3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9"/>
        <v/>
      </c>
      <c r="C25" s="473">
        <f>IF(D11="","-",+C24+1)</f>
        <v>2027</v>
      </c>
      <c r="D25" s="484">
        <f>IF(F24+SUM(E$17:E24)=D$10,F24,D$10-SUM(E$17:E24))</f>
        <v>5929688.8888888918</v>
      </c>
      <c r="E25" s="485">
        <f t="shared" si="4"/>
        <v>156044.44444444444</v>
      </c>
      <c r="F25" s="486">
        <f t="shared" si="5"/>
        <v>5773644.4444444478</v>
      </c>
      <c r="G25" s="487">
        <f t="shared" si="6"/>
        <v>947982.15273712948</v>
      </c>
      <c r="H25" s="456">
        <f t="shared" si="7"/>
        <v>947982.15273712948</v>
      </c>
      <c r="I25" s="476">
        <f t="shared" si="8"/>
        <v>0</v>
      </c>
      <c r="J25" s="476"/>
      <c r="K25" s="488"/>
      <c r="L25" s="479">
        <f t="shared" si="3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9"/>
        <v/>
      </c>
      <c r="C26" s="473">
        <f>IF(D11="","-",+C25+1)</f>
        <v>2028</v>
      </c>
      <c r="D26" s="484">
        <f>IF(F25+SUM(E$17:E25)=D$10,F25,D$10-SUM(E$17:E25))</f>
        <v>5773644.4444444478</v>
      </c>
      <c r="E26" s="485">
        <f t="shared" si="4"/>
        <v>156044.44444444444</v>
      </c>
      <c r="F26" s="486">
        <f t="shared" si="5"/>
        <v>5617600.0000000037</v>
      </c>
      <c r="G26" s="487">
        <f t="shared" si="6"/>
        <v>926863.81384932459</v>
      </c>
      <c r="H26" s="456">
        <f t="shared" si="7"/>
        <v>926863.81384932459</v>
      </c>
      <c r="I26" s="476">
        <f t="shared" si="8"/>
        <v>0</v>
      </c>
      <c r="J26" s="476"/>
      <c r="K26" s="488"/>
      <c r="L26" s="479">
        <f t="shared" si="3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9"/>
        <v/>
      </c>
      <c r="C27" s="473">
        <f>IF(D11="","-",+C26+1)</f>
        <v>2029</v>
      </c>
      <c r="D27" s="484">
        <f>IF(F26+SUM(E$17:E26)=D$10,F26,D$10-SUM(E$17:E26))</f>
        <v>5617600.0000000037</v>
      </c>
      <c r="E27" s="485">
        <f t="shared" si="4"/>
        <v>156044.44444444444</v>
      </c>
      <c r="F27" s="486">
        <f t="shared" si="5"/>
        <v>5461555.5555555597</v>
      </c>
      <c r="G27" s="487">
        <f t="shared" si="6"/>
        <v>905745.47496151971</v>
      </c>
      <c r="H27" s="456">
        <f t="shared" si="7"/>
        <v>905745.47496151971</v>
      </c>
      <c r="I27" s="476">
        <f t="shared" si="8"/>
        <v>0</v>
      </c>
      <c r="J27" s="476"/>
      <c r="K27" s="488"/>
      <c r="L27" s="479">
        <f t="shared" si="3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9"/>
        <v/>
      </c>
      <c r="C28" s="473">
        <f>IF(D11="","-",+C27+1)</f>
        <v>2030</v>
      </c>
      <c r="D28" s="484">
        <f>IF(F27+SUM(E$17:E27)=D$10,F27,D$10-SUM(E$17:E27))</f>
        <v>5461555.5555555597</v>
      </c>
      <c r="E28" s="485">
        <f t="shared" si="4"/>
        <v>156044.44444444444</v>
      </c>
      <c r="F28" s="486">
        <f t="shared" si="5"/>
        <v>5305511.1111111157</v>
      </c>
      <c r="G28" s="487">
        <f t="shared" si="6"/>
        <v>884627.13607371482</v>
      </c>
      <c r="H28" s="456">
        <f t="shared" si="7"/>
        <v>884627.13607371482</v>
      </c>
      <c r="I28" s="476">
        <f t="shared" si="8"/>
        <v>0</v>
      </c>
      <c r="J28" s="476"/>
      <c r="K28" s="488"/>
      <c r="L28" s="479">
        <f t="shared" si="3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9"/>
        <v/>
      </c>
      <c r="C29" s="473">
        <f>IF(D11="","-",+C28+1)</f>
        <v>2031</v>
      </c>
      <c r="D29" s="484">
        <f>IF(F28+SUM(E$17:E28)=D$10,F28,D$10-SUM(E$17:E28))</f>
        <v>5305511.1111111157</v>
      </c>
      <c r="E29" s="485">
        <f t="shared" si="4"/>
        <v>156044.44444444444</v>
      </c>
      <c r="F29" s="486">
        <f t="shared" si="5"/>
        <v>5149466.6666666716</v>
      </c>
      <c r="G29" s="487">
        <f t="shared" si="6"/>
        <v>863508.79718590993</v>
      </c>
      <c r="H29" s="456">
        <f t="shared" si="7"/>
        <v>863508.79718590993</v>
      </c>
      <c r="I29" s="476">
        <f t="shared" si="8"/>
        <v>0</v>
      </c>
      <c r="J29" s="476"/>
      <c r="K29" s="488"/>
      <c r="L29" s="479">
        <f t="shared" si="3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9"/>
        <v/>
      </c>
      <c r="C30" s="473">
        <f>IF(D11="","-",+C29+1)</f>
        <v>2032</v>
      </c>
      <c r="D30" s="484">
        <f>IF(F29+SUM(E$17:E29)=D$10,F29,D$10-SUM(E$17:E29))</f>
        <v>5149466.666666666</v>
      </c>
      <c r="E30" s="485">
        <f t="shared" si="4"/>
        <v>156044.44444444444</v>
      </c>
      <c r="F30" s="486">
        <f t="shared" si="5"/>
        <v>4993422.222222222</v>
      </c>
      <c r="G30" s="487">
        <f t="shared" si="6"/>
        <v>842390.45829810435</v>
      </c>
      <c r="H30" s="456">
        <f t="shared" si="7"/>
        <v>842390.45829810435</v>
      </c>
      <c r="I30" s="476">
        <f t="shared" si="8"/>
        <v>0</v>
      </c>
      <c r="J30" s="476"/>
      <c r="K30" s="488"/>
      <c r="L30" s="479">
        <f t="shared" si="3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9"/>
        <v/>
      </c>
      <c r="C31" s="473">
        <f>IF(D11="","-",+C30+1)</f>
        <v>2033</v>
      </c>
      <c r="D31" s="484">
        <f>IF(F30+SUM(E$17:E30)=D$10,F30,D$10-SUM(E$17:E30))</f>
        <v>4993422.222222222</v>
      </c>
      <c r="E31" s="485">
        <f t="shared" si="4"/>
        <v>156044.44444444444</v>
      </c>
      <c r="F31" s="486">
        <f t="shared" si="5"/>
        <v>4837377.777777778</v>
      </c>
      <c r="G31" s="487">
        <f t="shared" si="6"/>
        <v>821272.11941029946</v>
      </c>
      <c r="H31" s="456">
        <f t="shared" si="7"/>
        <v>821272.11941029946</v>
      </c>
      <c r="I31" s="476">
        <f t="shared" si="8"/>
        <v>0</v>
      </c>
      <c r="J31" s="476"/>
      <c r="K31" s="488"/>
      <c r="L31" s="479">
        <f t="shared" si="3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9"/>
        <v/>
      </c>
      <c r="C32" s="473">
        <f>IF(D11="","-",+C31+1)</f>
        <v>2034</v>
      </c>
      <c r="D32" s="484">
        <f>IF(F31+SUM(E$17:E31)=D$10,F31,D$10-SUM(E$17:E31))</f>
        <v>4837377.777777778</v>
      </c>
      <c r="E32" s="485">
        <f t="shared" si="4"/>
        <v>156044.44444444444</v>
      </c>
      <c r="F32" s="486">
        <f t="shared" si="5"/>
        <v>4681333.333333334</v>
      </c>
      <c r="G32" s="487">
        <f t="shared" si="6"/>
        <v>800153.78052249458</v>
      </c>
      <c r="H32" s="456">
        <f t="shared" si="7"/>
        <v>800153.78052249458</v>
      </c>
      <c r="I32" s="476">
        <f t="shared" si="8"/>
        <v>0</v>
      </c>
      <c r="J32" s="476"/>
      <c r="K32" s="488"/>
      <c r="L32" s="479">
        <f t="shared" si="3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9"/>
        <v/>
      </c>
      <c r="C33" s="473">
        <f>IF(D11="","-",+C32+1)</f>
        <v>2035</v>
      </c>
      <c r="D33" s="484">
        <f>IF(F32+SUM(E$17:E32)=D$10,F32,D$10-SUM(E$17:E32))</f>
        <v>4681333.333333334</v>
      </c>
      <c r="E33" s="485">
        <f t="shared" si="4"/>
        <v>156044.44444444444</v>
      </c>
      <c r="F33" s="486">
        <f t="shared" si="5"/>
        <v>4525288.8888888899</v>
      </c>
      <c r="G33" s="487">
        <f t="shared" si="6"/>
        <v>779035.44163468969</v>
      </c>
      <c r="H33" s="456">
        <f t="shared" si="7"/>
        <v>779035.44163468969</v>
      </c>
      <c r="I33" s="476">
        <f t="shared" si="8"/>
        <v>0</v>
      </c>
      <c r="J33" s="476"/>
      <c r="K33" s="488"/>
      <c r="L33" s="479">
        <f t="shared" si="3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9"/>
        <v/>
      </c>
      <c r="C34" s="473">
        <f>IF(D11="","-",+C33+1)</f>
        <v>2036</v>
      </c>
      <c r="D34" s="484">
        <f>IF(F33+SUM(E$17:E33)=D$10,F33,D$10-SUM(E$17:E33))</f>
        <v>4525288.8888888899</v>
      </c>
      <c r="E34" s="485">
        <f t="shared" si="4"/>
        <v>156044.44444444444</v>
      </c>
      <c r="F34" s="486">
        <f t="shared" si="5"/>
        <v>4369244.4444444459</v>
      </c>
      <c r="G34" s="487">
        <f t="shared" si="6"/>
        <v>757917.1027468848</v>
      </c>
      <c r="H34" s="456">
        <f t="shared" si="7"/>
        <v>757917.1027468848</v>
      </c>
      <c r="I34" s="476">
        <f t="shared" si="8"/>
        <v>0</v>
      </c>
      <c r="J34" s="476"/>
      <c r="K34" s="488"/>
      <c r="L34" s="479">
        <f t="shared" si="3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9"/>
        <v/>
      </c>
      <c r="C35" s="473">
        <f>IF(D11="","-",+C34+1)</f>
        <v>2037</v>
      </c>
      <c r="D35" s="484">
        <f>IF(F34+SUM(E$17:E34)=D$10,F34,D$10-SUM(E$17:E34))</f>
        <v>4369244.4444444459</v>
      </c>
      <c r="E35" s="485">
        <f t="shared" si="4"/>
        <v>156044.44444444444</v>
      </c>
      <c r="F35" s="486">
        <f t="shared" si="5"/>
        <v>4213200.0000000019</v>
      </c>
      <c r="G35" s="487">
        <f t="shared" si="6"/>
        <v>736798.76385907992</v>
      </c>
      <c r="H35" s="456">
        <f t="shared" si="7"/>
        <v>736798.76385907992</v>
      </c>
      <c r="I35" s="476">
        <f t="shared" si="8"/>
        <v>0</v>
      </c>
      <c r="J35" s="476"/>
      <c r="K35" s="488"/>
      <c r="L35" s="479">
        <f t="shared" si="3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9"/>
        <v/>
      </c>
      <c r="C36" s="473">
        <f>IF(D11="","-",+C35+1)</f>
        <v>2038</v>
      </c>
      <c r="D36" s="484">
        <f>IF(F35+SUM(E$17:E35)=D$10,F35,D$10-SUM(E$17:E35))</f>
        <v>4213200.0000000019</v>
      </c>
      <c r="E36" s="485">
        <f t="shared" si="4"/>
        <v>156044.44444444444</v>
      </c>
      <c r="F36" s="486">
        <f t="shared" si="5"/>
        <v>4057155.5555555574</v>
      </c>
      <c r="G36" s="487">
        <f t="shared" si="6"/>
        <v>715680.42497127526</v>
      </c>
      <c r="H36" s="456">
        <f t="shared" si="7"/>
        <v>715680.42497127526</v>
      </c>
      <c r="I36" s="476">
        <f t="shared" si="8"/>
        <v>0</v>
      </c>
      <c r="J36" s="476"/>
      <c r="K36" s="488"/>
      <c r="L36" s="479">
        <f t="shared" si="3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9"/>
        <v/>
      </c>
      <c r="C37" s="473">
        <f>IF(D11="","-",+C36+1)</f>
        <v>2039</v>
      </c>
      <c r="D37" s="484">
        <f>IF(F36+SUM(E$17:E36)=D$10,F36,D$10-SUM(E$17:E36))</f>
        <v>4057155.5555555574</v>
      </c>
      <c r="E37" s="485">
        <f t="shared" si="4"/>
        <v>156044.44444444444</v>
      </c>
      <c r="F37" s="486">
        <f t="shared" si="5"/>
        <v>3901111.1111111129</v>
      </c>
      <c r="G37" s="487">
        <f t="shared" si="6"/>
        <v>694562.08608347015</v>
      </c>
      <c r="H37" s="456">
        <f t="shared" si="7"/>
        <v>694562.08608347015</v>
      </c>
      <c r="I37" s="476">
        <f t="shared" si="8"/>
        <v>0</v>
      </c>
      <c r="J37" s="476"/>
      <c r="K37" s="488"/>
      <c r="L37" s="479">
        <f t="shared" si="3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9"/>
        <v/>
      </c>
      <c r="C38" s="473">
        <f>IF(D11="","-",+C37+1)</f>
        <v>2040</v>
      </c>
      <c r="D38" s="484">
        <f>IF(F37+SUM(E$17:E37)=D$10,F37,D$10-SUM(E$17:E37))</f>
        <v>3901111.1111111129</v>
      </c>
      <c r="E38" s="485">
        <f t="shared" si="4"/>
        <v>156044.44444444444</v>
      </c>
      <c r="F38" s="486">
        <f t="shared" si="5"/>
        <v>3745066.6666666684</v>
      </c>
      <c r="G38" s="487">
        <f t="shared" si="6"/>
        <v>673443.74719566526</v>
      </c>
      <c r="H38" s="456">
        <f t="shared" si="7"/>
        <v>673443.74719566526</v>
      </c>
      <c r="I38" s="476">
        <f t="shared" si="8"/>
        <v>0</v>
      </c>
      <c r="J38" s="476"/>
      <c r="K38" s="488"/>
      <c r="L38" s="479">
        <f t="shared" si="3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9"/>
        <v/>
      </c>
      <c r="C39" s="473">
        <f>IF(D11="","-",+C38+1)</f>
        <v>2041</v>
      </c>
      <c r="D39" s="484">
        <f>IF(F38+SUM(E$17:E38)=D$10,F38,D$10-SUM(E$17:E38))</f>
        <v>3745066.6666666684</v>
      </c>
      <c r="E39" s="485">
        <f t="shared" si="4"/>
        <v>156044.44444444444</v>
      </c>
      <c r="F39" s="486">
        <f t="shared" si="5"/>
        <v>3589022.2222222239</v>
      </c>
      <c r="G39" s="487">
        <f t="shared" si="6"/>
        <v>652325.40830786037</v>
      </c>
      <c r="H39" s="456">
        <f t="shared" si="7"/>
        <v>652325.40830786037</v>
      </c>
      <c r="I39" s="476">
        <f t="shared" si="8"/>
        <v>0</v>
      </c>
      <c r="J39" s="476"/>
      <c r="K39" s="488"/>
      <c r="L39" s="479">
        <f t="shared" si="3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9"/>
        <v/>
      </c>
      <c r="C40" s="473">
        <f>IF(D11="","-",+C39+1)</f>
        <v>2042</v>
      </c>
      <c r="D40" s="484">
        <f>IF(F39+SUM(E$17:E39)=D$10,F39,D$10-SUM(E$17:E39))</f>
        <v>3589022.2222222239</v>
      </c>
      <c r="E40" s="485">
        <f t="shared" si="4"/>
        <v>156044.44444444444</v>
      </c>
      <c r="F40" s="486">
        <f t="shared" si="5"/>
        <v>3432977.7777777794</v>
      </c>
      <c r="G40" s="487">
        <f t="shared" si="6"/>
        <v>631207.06942005549</v>
      </c>
      <c r="H40" s="456">
        <f t="shared" si="7"/>
        <v>631207.06942005549</v>
      </c>
      <c r="I40" s="476">
        <f t="shared" si="8"/>
        <v>0</v>
      </c>
      <c r="J40" s="476"/>
      <c r="K40" s="488"/>
      <c r="L40" s="479">
        <f t="shared" si="3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9"/>
        <v/>
      </c>
      <c r="C41" s="473">
        <f>IF(D11="","-",+C40+1)</f>
        <v>2043</v>
      </c>
      <c r="D41" s="484">
        <f>IF(F40+SUM(E$17:E40)=D$10,F40,D$10-SUM(E$17:E40))</f>
        <v>3432977.7777777794</v>
      </c>
      <c r="E41" s="485">
        <f t="shared" si="4"/>
        <v>156044.44444444444</v>
      </c>
      <c r="F41" s="486">
        <f t="shared" si="5"/>
        <v>3276933.3333333349</v>
      </c>
      <c r="G41" s="487">
        <f t="shared" si="6"/>
        <v>610088.73053225037</v>
      </c>
      <c r="H41" s="456">
        <f t="shared" si="7"/>
        <v>610088.73053225037</v>
      </c>
      <c r="I41" s="476">
        <f t="shared" si="8"/>
        <v>0</v>
      </c>
      <c r="J41" s="476"/>
      <c r="K41" s="488"/>
      <c r="L41" s="479">
        <f t="shared" si="3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9"/>
        <v/>
      </c>
      <c r="C42" s="473">
        <f>IF(D11="","-",+C41+1)</f>
        <v>2044</v>
      </c>
      <c r="D42" s="484">
        <f>IF(F41+SUM(E$17:E41)=D$10,F41,D$10-SUM(E$17:E41))</f>
        <v>3276933.3333333349</v>
      </c>
      <c r="E42" s="485">
        <f t="shared" si="4"/>
        <v>156044.44444444444</v>
      </c>
      <c r="F42" s="486">
        <f t="shared" si="5"/>
        <v>3120888.8888888904</v>
      </c>
      <c r="G42" s="487">
        <f t="shared" si="6"/>
        <v>588970.3916444456</v>
      </c>
      <c r="H42" s="456">
        <f t="shared" si="7"/>
        <v>588970.3916444456</v>
      </c>
      <c r="I42" s="476">
        <f t="shared" si="8"/>
        <v>0</v>
      </c>
      <c r="J42" s="476"/>
      <c r="K42" s="488"/>
      <c r="L42" s="479">
        <f t="shared" si="3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9"/>
        <v/>
      </c>
      <c r="C43" s="473">
        <f>IF(D11="","-",+C42+1)</f>
        <v>2045</v>
      </c>
      <c r="D43" s="484">
        <f>IF(F42+SUM(E$17:E42)=D$10,F42,D$10-SUM(E$17:E42))</f>
        <v>3120888.8888888904</v>
      </c>
      <c r="E43" s="485">
        <f t="shared" si="4"/>
        <v>156044.44444444444</v>
      </c>
      <c r="F43" s="486">
        <f t="shared" si="5"/>
        <v>2964844.4444444459</v>
      </c>
      <c r="G43" s="487">
        <f t="shared" si="6"/>
        <v>567852.05275664059</v>
      </c>
      <c r="H43" s="456">
        <f t="shared" si="7"/>
        <v>567852.05275664059</v>
      </c>
      <c r="I43" s="476">
        <f t="shared" si="8"/>
        <v>0</v>
      </c>
      <c r="J43" s="476"/>
      <c r="K43" s="488"/>
      <c r="L43" s="479">
        <f t="shared" si="3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9"/>
        <v/>
      </c>
      <c r="C44" s="473">
        <f>IF(D11="","-",+C43+1)</f>
        <v>2046</v>
      </c>
      <c r="D44" s="484">
        <f>IF(F43+SUM(E$17:E43)=D$10,F43,D$10-SUM(E$17:E43))</f>
        <v>2964844.4444444459</v>
      </c>
      <c r="E44" s="485">
        <f t="shared" si="4"/>
        <v>156044.44444444444</v>
      </c>
      <c r="F44" s="486">
        <f t="shared" si="5"/>
        <v>2808800.0000000014</v>
      </c>
      <c r="G44" s="487">
        <f t="shared" si="6"/>
        <v>546733.71386883571</v>
      </c>
      <c r="H44" s="456">
        <f t="shared" si="7"/>
        <v>546733.71386883571</v>
      </c>
      <c r="I44" s="476">
        <f t="shared" si="8"/>
        <v>0</v>
      </c>
      <c r="J44" s="476"/>
      <c r="K44" s="488"/>
      <c r="L44" s="479">
        <f t="shared" si="3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9"/>
        <v/>
      </c>
      <c r="C45" s="473">
        <f>IF(D11="","-",+C44+1)</f>
        <v>2047</v>
      </c>
      <c r="D45" s="484">
        <f>IF(F44+SUM(E$17:E44)=D$10,F44,D$10-SUM(E$17:E44))</f>
        <v>2808800.0000000014</v>
      </c>
      <c r="E45" s="485">
        <f t="shared" si="4"/>
        <v>156044.44444444444</v>
      </c>
      <c r="F45" s="486">
        <f t="shared" si="5"/>
        <v>2652755.5555555569</v>
      </c>
      <c r="G45" s="487">
        <f t="shared" si="6"/>
        <v>525615.37498103071</v>
      </c>
      <c r="H45" s="456">
        <f t="shared" si="7"/>
        <v>525615.37498103071</v>
      </c>
      <c r="I45" s="476">
        <f t="shared" si="8"/>
        <v>0</v>
      </c>
      <c r="J45" s="476"/>
      <c r="K45" s="488"/>
      <c r="L45" s="479">
        <f t="shared" si="3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9"/>
        <v/>
      </c>
      <c r="C46" s="473">
        <f>IF(D11="","-",+C45+1)</f>
        <v>2048</v>
      </c>
      <c r="D46" s="484">
        <f>IF(F45+SUM(E$17:E45)=D$10,F45,D$10-SUM(E$17:E45))</f>
        <v>2652755.5555555569</v>
      </c>
      <c r="E46" s="485">
        <f t="shared" si="4"/>
        <v>156044.44444444444</v>
      </c>
      <c r="F46" s="486">
        <f t="shared" si="5"/>
        <v>2496711.1111111124</v>
      </c>
      <c r="G46" s="487">
        <f t="shared" si="6"/>
        <v>504497.03609322588</v>
      </c>
      <c r="H46" s="456">
        <f t="shared" si="7"/>
        <v>504497.03609322588</v>
      </c>
      <c r="I46" s="476">
        <f t="shared" si="8"/>
        <v>0</v>
      </c>
      <c r="J46" s="476"/>
      <c r="K46" s="488"/>
      <c r="L46" s="479">
        <f t="shared" si="3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9"/>
        <v/>
      </c>
      <c r="C47" s="473">
        <f>IF(D11="","-",+C46+1)</f>
        <v>2049</v>
      </c>
      <c r="D47" s="484">
        <f>IF(F46+SUM(E$17:E46)=D$10,F46,D$10-SUM(E$17:E46))</f>
        <v>2496711.1111111124</v>
      </c>
      <c r="E47" s="485">
        <f t="shared" si="4"/>
        <v>156044.44444444444</v>
      </c>
      <c r="F47" s="486">
        <f t="shared" si="5"/>
        <v>2340666.6666666679</v>
      </c>
      <c r="G47" s="487">
        <f t="shared" si="6"/>
        <v>483378.69720542087</v>
      </c>
      <c r="H47" s="456">
        <f t="shared" si="7"/>
        <v>483378.69720542087</v>
      </c>
      <c r="I47" s="476">
        <f t="shared" si="8"/>
        <v>0</v>
      </c>
      <c r="J47" s="476"/>
      <c r="K47" s="488"/>
      <c r="L47" s="479">
        <f t="shared" si="3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9"/>
        <v/>
      </c>
      <c r="C48" s="473">
        <f>IF(D11="","-",+C47+1)</f>
        <v>2050</v>
      </c>
      <c r="D48" s="484">
        <f>IF(F47+SUM(E$17:E47)=D$10,F47,D$10-SUM(E$17:E47))</f>
        <v>2340666.6666666679</v>
      </c>
      <c r="E48" s="485">
        <f t="shared" si="4"/>
        <v>156044.44444444444</v>
      </c>
      <c r="F48" s="486">
        <f t="shared" si="5"/>
        <v>2184622.2222222234</v>
      </c>
      <c r="G48" s="487">
        <f t="shared" si="6"/>
        <v>462260.35831761599</v>
      </c>
      <c r="H48" s="456">
        <f t="shared" si="7"/>
        <v>462260.35831761599</v>
      </c>
      <c r="I48" s="476">
        <f t="shared" si="8"/>
        <v>0</v>
      </c>
      <c r="J48" s="476"/>
      <c r="K48" s="488"/>
      <c r="L48" s="479">
        <f t="shared" si="3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9"/>
        <v/>
      </c>
      <c r="C49" s="473">
        <f>IF(D11="","-",+C48+1)</f>
        <v>2051</v>
      </c>
      <c r="D49" s="484">
        <f>IF(F48+SUM(E$17:E48)=D$10,F48,D$10-SUM(E$17:E48))</f>
        <v>2184622.2222222234</v>
      </c>
      <c r="E49" s="485">
        <f t="shared" si="4"/>
        <v>156044.44444444444</v>
      </c>
      <c r="F49" s="486">
        <f t="shared" si="5"/>
        <v>2028577.7777777789</v>
      </c>
      <c r="G49" s="487">
        <f t="shared" si="6"/>
        <v>441142.01942981099</v>
      </c>
      <c r="H49" s="456">
        <f t="shared" si="7"/>
        <v>441142.01942981099</v>
      </c>
      <c r="I49" s="476">
        <f t="shared" si="8"/>
        <v>0</v>
      </c>
      <c r="J49" s="476"/>
      <c r="K49" s="488"/>
      <c r="L49" s="479">
        <f t="shared" si="3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9"/>
        <v/>
      </c>
      <c r="C50" s="473">
        <f>IF(D11="","-",+C49+1)</f>
        <v>2052</v>
      </c>
      <c r="D50" s="484">
        <f>IF(F49+SUM(E$17:E49)=D$10,F49,D$10-SUM(E$17:E49))</f>
        <v>2028577.7777777789</v>
      </c>
      <c r="E50" s="485">
        <f t="shared" si="4"/>
        <v>156044.44444444444</v>
      </c>
      <c r="F50" s="486">
        <f t="shared" si="5"/>
        <v>1872533.3333333344</v>
      </c>
      <c r="G50" s="487">
        <f t="shared" si="6"/>
        <v>420023.6805420061</v>
      </c>
      <c r="H50" s="456">
        <f t="shared" si="7"/>
        <v>420023.6805420061</v>
      </c>
      <c r="I50" s="476">
        <f t="shared" si="8"/>
        <v>0</v>
      </c>
      <c r="J50" s="476"/>
      <c r="K50" s="488"/>
      <c r="L50" s="479">
        <f t="shared" si="3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9"/>
        <v/>
      </c>
      <c r="C51" s="473">
        <f>IF(D11="","-",+C50+1)</f>
        <v>2053</v>
      </c>
      <c r="D51" s="484">
        <f>IF(F50+SUM(E$17:E50)=D$10,F50,D$10-SUM(E$17:E50))</f>
        <v>1872533.3333333344</v>
      </c>
      <c r="E51" s="485">
        <f t="shared" si="4"/>
        <v>156044.44444444444</v>
      </c>
      <c r="F51" s="486">
        <f t="shared" si="5"/>
        <v>1716488.8888888899</v>
      </c>
      <c r="G51" s="487">
        <f t="shared" si="6"/>
        <v>398905.34165420115</v>
      </c>
      <c r="H51" s="456">
        <f t="shared" si="7"/>
        <v>398905.34165420115</v>
      </c>
      <c r="I51" s="476">
        <f t="shared" si="8"/>
        <v>0</v>
      </c>
      <c r="J51" s="476"/>
      <c r="K51" s="488"/>
      <c r="L51" s="479">
        <f t="shared" si="3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9"/>
        <v/>
      </c>
      <c r="C52" s="473">
        <f>IF(D11="","-",+C51+1)</f>
        <v>2054</v>
      </c>
      <c r="D52" s="484">
        <f>IF(F51+SUM(E$17:E51)=D$10,F51,D$10-SUM(E$17:E51))</f>
        <v>1716488.8888888899</v>
      </c>
      <c r="E52" s="485">
        <f t="shared" si="4"/>
        <v>156044.44444444444</v>
      </c>
      <c r="F52" s="486">
        <f t="shared" si="5"/>
        <v>1560444.4444444454</v>
      </c>
      <c r="G52" s="487">
        <f t="shared" si="6"/>
        <v>377787.00276639627</v>
      </c>
      <c r="H52" s="456">
        <f t="shared" si="7"/>
        <v>377787.00276639627</v>
      </c>
      <c r="I52" s="476">
        <f t="shared" si="8"/>
        <v>0</v>
      </c>
      <c r="J52" s="476"/>
      <c r="K52" s="488"/>
      <c r="L52" s="479">
        <f t="shared" si="3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9"/>
        <v/>
      </c>
      <c r="C53" s="473">
        <f>IF(D11="","-",+C52+1)</f>
        <v>2055</v>
      </c>
      <c r="D53" s="484">
        <f>IF(F52+SUM(E$17:E52)=D$10,F52,D$10-SUM(E$17:E52))</f>
        <v>1560444.4444444454</v>
      </c>
      <c r="E53" s="485">
        <f t="shared" si="4"/>
        <v>156044.44444444444</v>
      </c>
      <c r="F53" s="486">
        <f t="shared" si="5"/>
        <v>1404400.0000000009</v>
      </c>
      <c r="G53" s="487">
        <f t="shared" si="6"/>
        <v>356668.66387859132</v>
      </c>
      <c r="H53" s="456">
        <f t="shared" si="7"/>
        <v>356668.66387859132</v>
      </c>
      <c r="I53" s="476">
        <f t="shared" si="8"/>
        <v>0</v>
      </c>
      <c r="J53" s="476"/>
      <c r="K53" s="488"/>
      <c r="L53" s="479">
        <f t="shared" si="3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9"/>
        <v/>
      </c>
      <c r="C54" s="473">
        <f>IF(D11="","-",+C53+1)</f>
        <v>2056</v>
      </c>
      <c r="D54" s="484">
        <f>IF(F53+SUM(E$17:E53)=D$10,F53,D$10-SUM(E$17:E53))</f>
        <v>1404400.0000000009</v>
      </c>
      <c r="E54" s="485">
        <f t="shared" si="4"/>
        <v>156044.44444444444</v>
      </c>
      <c r="F54" s="486">
        <f t="shared" si="5"/>
        <v>1248355.5555555564</v>
      </c>
      <c r="G54" s="487">
        <f t="shared" si="6"/>
        <v>335550.32499078638</v>
      </c>
      <c r="H54" s="456">
        <f t="shared" si="7"/>
        <v>335550.32499078638</v>
      </c>
      <c r="I54" s="476">
        <f t="shared" si="8"/>
        <v>0</v>
      </c>
      <c r="J54" s="476"/>
      <c r="K54" s="488"/>
      <c r="L54" s="479">
        <f t="shared" si="3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9"/>
        <v/>
      </c>
      <c r="C55" s="473">
        <f>IF(D11="","-",+C54+1)</f>
        <v>2057</v>
      </c>
      <c r="D55" s="484">
        <f>IF(F54+SUM(E$17:E54)=D$10,F54,D$10-SUM(E$17:E54))</f>
        <v>1248355.5555555564</v>
      </c>
      <c r="E55" s="485">
        <f t="shared" si="4"/>
        <v>156044.44444444444</v>
      </c>
      <c r="F55" s="486">
        <f t="shared" si="5"/>
        <v>1092311.1111111119</v>
      </c>
      <c r="G55" s="487">
        <f t="shared" si="6"/>
        <v>314431.98610298149</v>
      </c>
      <c r="H55" s="456">
        <f t="shared" si="7"/>
        <v>314431.98610298149</v>
      </c>
      <c r="I55" s="476">
        <f t="shared" si="8"/>
        <v>0</v>
      </c>
      <c r="J55" s="476"/>
      <c r="K55" s="488"/>
      <c r="L55" s="479">
        <f t="shared" si="3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9"/>
        <v/>
      </c>
      <c r="C56" s="473">
        <f>IF(D11="","-",+C55+1)</f>
        <v>2058</v>
      </c>
      <c r="D56" s="484">
        <f>IF(F55+SUM(E$17:E55)=D$10,F55,D$10-SUM(E$17:E55))</f>
        <v>1092311.1111111119</v>
      </c>
      <c r="E56" s="485">
        <f t="shared" si="4"/>
        <v>156044.44444444444</v>
      </c>
      <c r="F56" s="486">
        <f t="shared" si="5"/>
        <v>936266.66666666744</v>
      </c>
      <c r="G56" s="487">
        <f t="shared" si="6"/>
        <v>293313.64721517655</v>
      </c>
      <c r="H56" s="456">
        <f t="shared" si="7"/>
        <v>293313.64721517655</v>
      </c>
      <c r="I56" s="476">
        <f t="shared" si="8"/>
        <v>0</v>
      </c>
      <c r="J56" s="476"/>
      <c r="K56" s="488"/>
      <c r="L56" s="479">
        <f t="shared" si="3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9"/>
        <v/>
      </c>
      <c r="C57" s="473">
        <f>IF(D11="","-",+C56+1)</f>
        <v>2059</v>
      </c>
      <c r="D57" s="484">
        <f>IF(F56+SUM(E$17:E56)=D$10,F56,D$10-SUM(E$17:E56))</f>
        <v>936266.66666666744</v>
      </c>
      <c r="E57" s="485">
        <f t="shared" si="4"/>
        <v>156044.44444444444</v>
      </c>
      <c r="F57" s="486">
        <f t="shared" si="5"/>
        <v>780222.22222222295</v>
      </c>
      <c r="G57" s="487">
        <f t="shared" si="6"/>
        <v>272195.3083273716</v>
      </c>
      <c r="H57" s="456">
        <f t="shared" si="7"/>
        <v>272195.3083273716</v>
      </c>
      <c r="I57" s="476">
        <f t="shared" si="8"/>
        <v>0</v>
      </c>
      <c r="J57" s="476"/>
      <c r="K57" s="488"/>
      <c r="L57" s="479">
        <f t="shared" si="3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9"/>
        <v/>
      </c>
      <c r="C58" s="473">
        <f>IF(D11="","-",+C57+1)</f>
        <v>2060</v>
      </c>
      <c r="D58" s="484">
        <f>IF(F57+SUM(E$17:E57)=D$10,F57,D$10-SUM(E$17:E57))</f>
        <v>780222.22222222295</v>
      </c>
      <c r="E58" s="485">
        <f t="shared" si="4"/>
        <v>156044.44444444444</v>
      </c>
      <c r="F58" s="486">
        <f t="shared" si="5"/>
        <v>624177.77777777845</v>
      </c>
      <c r="G58" s="487">
        <f t="shared" si="6"/>
        <v>251076.96943956669</v>
      </c>
      <c r="H58" s="456">
        <f t="shared" si="7"/>
        <v>251076.96943956669</v>
      </c>
      <c r="I58" s="476">
        <f t="shared" si="8"/>
        <v>0</v>
      </c>
      <c r="J58" s="476"/>
      <c r="K58" s="488"/>
      <c r="L58" s="479">
        <f t="shared" si="3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9"/>
        <v/>
      </c>
      <c r="C59" s="473">
        <f>IF(D11="","-",+C58+1)</f>
        <v>2061</v>
      </c>
      <c r="D59" s="484">
        <f>IF(F58+SUM(E$17:E58)=D$10,F58,D$10-SUM(E$17:E58))</f>
        <v>624177.77777777845</v>
      </c>
      <c r="E59" s="485">
        <f t="shared" si="4"/>
        <v>156044.44444444444</v>
      </c>
      <c r="F59" s="486">
        <f t="shared" si="5"/>
        <v>468133.33333333401</v>
      </c>
      <c r="G59" s="487">
        <f t="shared" si="6"/>
        <v>229958.63055176177</v>
      </c>
      <c r="H59" s="456">
        <f t="shared" si="7"/>
        <v>229958.63055176177</v>
      </c>
      <c r="I59" s="476">
        <f t="shared" si="8"/>
        <v>0</v>
      </c>
      <c r="J59" s="476"/>
      <c r="K59" s="488"/>
      <c r="L59" s="479">
        <f t="shared" si="3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9"/>
        <v/>
      </c>
      <c r="C60" s="473">
        <f>IF(D11="","-",+C59+1)</f>
        <v>2062</v>
      </c>
      <c r="D60" s="484">
        <f>IF(F59+SUM(E$17:E59)=D$10,F59,D$10-SUM(E$17:E59))</f>
        <v>468133.33333333401</v>
      </c>
      <c r="E60" s="485">
        <f t="shared" si="4"/>
        <v>156044.44444444444</v>
      </c>
      <c r="F60" s="486">
        <f t="shared" si="5"/>
        <v>312088.88888888957</v>
      </c>
      <c r="G60" s="487">
        <f t="shared" si="6"/>
        <v>208840.29166395683</v>
      </c>
      <c r="H60" s="456">
        <f t="shared" si="7"/>
        <v>208840.29166395683</v>
      </c>
      <c r="I60" s="476">
        <f t="shared" si="8"/>
        <v>0</v>
      </c>
      <c r="J60" s="476"/>
      <c r="K60" s="488"/>
      <c r="L60" s="479">
        <f t="shared" si="3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9"/>
        <v/>
      </c>
      <c r="C61" s="473">
        <f>IF(D11="","-",+C60+1)</f>
        <v>2063</v>
      </c>
      <c r="D61" s="484">
        <f>IF(F60+SUM(E$17:E60)=D$10,F60,D$10-SUM(E$17:E60))</f>
        <v>312088.88888888957</v>
      </c>
      <c r="E61" s="485">
        <f t="shared" si="4"/>
        <v>156044.44444444444</v>
      </c>
      <c r="F61" s="486">
        <f t="shared" si="5"/>
        <v>156044.44444444514</v>
      </c>
      <c r="G61" s="487">
        <f t="shared" si="6"/>
        <v>187721.95277615191</v>
      </c>
      <c r="H61" s="456">
        <f t="shared" si="7"/>
        <v>187721.95277615191</v>
      </c>
      <c r="I61" s="476">
        <f t="shared" si="8"/>
        <v>0</v>
      </c>
      <c r="J61" s="476"/>
      <c r="K61" s="488"/>
      <c r="L61" s="479">
        <f t="shared" si="3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9"/>
        <v>IU</v>
      </c>
      <c r="C62" s="473">
        <f>IF(D11="","-",+C61+1)</f>
        <v>2064</v>
      </c>
      <c r="D62" s="484">
        <f>IF(F61+SUM(E$17:E61)=D$10,F61,D$10-SUM(E$17:E61))</f>
        <v>156044.44444445055</v>
      </c>
      <c r="E62" s="485">
        <f t="shared" si="4"/>
        <v>156044.44444444444</v>
      </c>
      <c r="F62" s="486">
        <f t="shared" si="5"/>
        <v>6.1118043959140778E-9</v>
      </c>
      <c r="G62" s="487">
        <f t="shared" si="6"/>
        <v>166603.61388834773</v>
      </c>
      <c r="H62" s="456">
        <f t="shared" si="7"/>
        <v>166603.61388834773</v>
      </c>
      <c r="I62" s="476">
        <f t="shared" si="8"/>
        <v>0</v>
      </c>
      <c r="J62" s="476"/>
      <c r="K62" s="488"/>
      <c r="L62" s="479">
        <f t="shared" si="3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9"/>
        <v/>
      </c>
      <c r="C63" s="473">
        <f>IF(D11="","-",+C62+1)</f>
        <v>2065</v>
      </c>
      <c r="D63" s="484">
        <f>IF(F62+SUM(E$17:E62)=D$10,F62,D$10-SUM(E$17:E62))</f>
        <v>6.1118043959140778E-9</v>
      </c>
      <c r="E63" s="485">
        <f t="shared" si="4"/>
        <v>6.1118043959140778E-9</v>
      </c>
      <c r="F63" s="486">
        <f t="shared" si="5"/>
        <v>0</v>
      </c>
      <c r="G63" s="487">
        <f t="shared" si="6"/>
        <v>6.5253761731997532E-9</v>
      </c>
      <c r="H63" s="456">
        <f t="shared" si="7"/>
        <v>6.5253761731997532E-9</v>
      </c>
      <c r="I63" s="476">
        <f t="shared" si="8"/>
        <v>0</v>
      </c>
      <c r="J63" s="476"/>
      <c r="K63" s="488"/>
      <c r="L63" s="479">
        <f t="shared" si="3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9"/>
        <v/>
      </c>
      <c r="C64" s="473">
        <f>IF(D11="","-",+C63+1)</f>
        <v>2066</v>
      </c>
      <c r="D64" s="484">
        <f>IF(F63+SUM(E$17:E63)=D$10,F63,D$10-SUM(E$17:E63))</f>
        <v>0</v>
      </c>
      <c r="E64" s="485">
        <f t="shared" si="4"/>
        <v>0</v>
      </c>
      <c r="F64" s="486">
        <f t="shared" si="5"/>
        <v>0</v>
      </c>
      <c r="G64" s="487">
        <f t="shared" si="6"/>
        <v>0</v>
      </c>
      <c r="H64" s="456">
        <f t="shared" si="7"/>
        <v>0</v>
      </c>
      <c r="I64" s="476">
        <f t="shared" si="8"/>
        <v>0</v>
      </c>
      <c r="J64" s="476"/>
      <c r="K64" s="488"/>
      <c r="L64" s="479">
        <f t="shared" si="3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9"/>
        <v/>
      </c>
      <c r="C65" s="473">
        <f>IF(D11="","-",+C64+1)</f>
        <v>2067</v>
      </c>
      <c r="D65" s="484">
        <f>IF(F64+SUM(E$17:E64)=D$10,F64,D$10-SUM(E$17:E64))</f>
        <v>0</v>
      </c>
      <c r="E65" s="485">
        <f t="shared" si="4"/>
        <v>0</v>
      </c>
      <c r="F65" s="486">
        <f t="shared" si="5"/>
        <v>0</v>
      </c>
      <c r="G65" s="487">
        <f t="shared" si="6"/>
        <v>0</v>
      </c>
      <c r="H65" s="456">
        <f t="shared" si="7"/>
        <v>0</v>
      </c>
      <c r="I65" s="476">
        <f t="shared" si="8"/>
        <v>0</v>
      </c>
      <c r="J65" s="476"/>
      <c r="K65" s="488"/>
      <c r="L65" s="479">
        <f t="shared" si="3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9"/>
        <v/>
      </c>
      <c r="C66" s="473">
        <f>IF(D11="","-",+C65+1)</f>
        <v>2068</v>
      </c>
      <c r="D66" s="484">
        <f>IF(F65+SUM(E$17:E65)=D$10,F65,D$10-SUM(E$17:E65))</f>
        <v>0</v>
      </c>
      <c r="E66" s="485">
        <f t="shared" si="4"/>
        <v>0</v>
      </c>
      <c r="F66" s="486">
        <f t="shared" si="5"/>
        <v>0</v>
      </c>
      <c r="G66" s="487">
        <f t="shared" si="6"/>
        <v>0</v>
      </c>
      <c r="H66" s="456">
        <f t="shared" si="7"/>
        <v>0</v>
      </c>
      <c r="I66" s="476">
        <f t="shared" si="8"/>
        <v>0</v>
      </c>
      <c r="J66" s="476"/>
      <c r="K66" s="488"/>
      <c r="L66" s="479">
        <f t="shared" si="3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9"/>
        <v/>
      </c>
      <c r="C67" s="473">
        <f>IF(D11="","-",+C66+1)</f>
        <v>2069</v>
      </c>
      <c r="D67" s="484">
        <f>IF(F66+SUM(E$17:E66)=D$10,F66,D$10-SUM(E$17:E66))</f>
        <v>0</v>
      </c>
      <c r="E67" s="485">
        <f t="shared" si="4"/>
        <v>0</v>
      </c>
      <c r="F67" s="486">
        <f t="shared" si="5"/>
        <v>0</v>
      </c>
      <c r="G67" s="487">
        <f t="shared" si="6"/>
        <v>0</v>
      </c>
      <c r="H67" s="456">
        <f t="shared" si="7"/>
        <v>0</v>
      </c>
      <c r="I67" s="476">
        <f t="shared" si="8"/>
        <v>0</v>
      </c>
      <c r="J67" s="476"/>
      <c r="K67" s="488"/>
      <c r="L67" s="479">
        <f t="shared" si="3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9"/>
        <v/>
      </c>
      <c r="C68" s="473">
        <f>IF(D11="","-",+C67+1)</f>
        <v>2070</v>
      </c>
      <c r="D68" s="484">
        <f>IF(F67+SUM(E$17:E67)=D$10,F67,D$10-SUM(E$17:E67))</f>
        <v>0</v>
      </c>
      <c r="E68" s="485">
        <f t="shared" si="4"/>
        <v>0</v>
      </c>
      <c r="F68" s="486">
        <f t="shared" si="5"/>
        <v>0</v>
      </c>
      <c r="G68" s="487">
        <f t="shared" si="6"/>
        <v>0</v>
      </c>
      <c r="H68" s="456">
        <f t="shared" si="7"/>
        <v>0</v>
      </c>
      <c r="I68" s="476">
        <f t="shared" si="8"/>
        <v>0</v>
      </c>
      <c r="J68" s="476"/>
      <c r="K68" s="488"/>
      <c r="L68" s="479">
        <f t="shared" si="3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9"/>
        <v/>
      </c>
      <c r="C69" s="473">
        <f>IF(D11="","-",+C68+1)</f>
        <v>2071</v>
      </c>
      <c r="D69" s="484">
        <f>IF(F68+SUM(E$17:E68)=D$10,F68,D$10-SUM(E$17:E68))</f>
        <v>0</v>
      </c>
      <c r="E69" s="485">
        <f t="shared" si="4"/>
        <v>0</v>
      </c>
      <c r="F69" s="486">
        <f t="shared" si="5"/>
        <v>0</v>
      </c>
      <c r="G69" s="487">
        <f t="shared" si="6"/>
        <v>0</v>
      </c>
      <c r="H69" s="456">
        <f t="shared" si="7"/>
        <v>0</v>
      </c>
      <c r="I69" s="476">
        <f t="shared" si="8"/>
        <v>0</v>
      </c>
      <c r="J69" s="476"/>
      <c r="K69" s="488"/>
      <c r="L69" s="479">
        <f t="shared" si="3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9"/>
        <v/>
      </c>
      <c r="C70" s="473">
        <f>IF(D11="","-",+C69+1)</f>
        <v>2072</v>
      </c>
      <c r="D70" s="484">
        <f>IF(F69+SUM(E$17:E69)=D$10,F69,D$10-SUM(E$17:E69))</f>
        <v>0</v>
      </c>
      <c r="E70" s="485">
        <f t="shared" si="4"/>
        <v>0</v>
      </c>
      <c r="F70" s="486">
        <f t="shared" si="5"/>
        <v>0</v>
      </c>
      <c r="G70" s="487">
        <f t="shared" si="6"/>
        <v>0</v>
      </c>
      <c r="H70" s="456">
        <f t="shared" si="7"/>
        <v>0</v>
      </c>
      <c r="I70" s="476">
        <f t="shared" si="8"/>
        <v>0</v>
      </c>
      <c r="J70" s="476"/>
      <c r="K70" s="488"/>
      <c r="L70" s="479">
        <f t="shared" si="3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9"/>
        <v/>
      </c>
      <c r="C71" s="473">
        <f>IF(D11="","-",+C70+1)</f>
        <v>2073</v>
      </c>
      <c r="D71" s="484">
        <f>IF(F70+SUM(E$17:E70)=D$10,F70,D$10-SUM(E$17:E70))</f>
        <v>0</v>
      </c>
      <c r="E71" s="485">
        <f t="shared" si="4"/>
        <v>0</v>
      </c>
      <c r="F71" s="486">
        <f t="shared" si="5"/>
        <v>0</v>
      </c>
      <c r="G71" s="487">
        <f t="shared" si="6"/>
        <v>0</v>
      </c>
      <c r="H71" s="456">
        <f t="shared" si="7"/>
        <v>0</v>
      </c>
      <c r="I71" s="476">
        <f t="shared" si="8"/>
        <v>0</v>
      </c>
      <c r="J71" s="476"/>
      <c r="K71" s="488"/>
      <c r="L71" s="479">
        <f t="shared" si="3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9"/>
        <v/>
      </c>
      <c r="C72" s="490">
        <f>IF(D11="","-",+C71+1)</f>
        <v>2074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3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7022000</v>
      </c>
      <c r="F73" s="348"/>
      <c r="G73" s="348">
        <f>SUM(G17:G72)</f>
        <v>28684799.58172195</v>
      </c>
      <c r="H73" s="348">
        <f>SUM(H17:H72)</f>
        <v>28684799.58172195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26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280481.45781944925</v>
      </c>
      <c r="N87" s="509">
        <f>IF(J92&lt;D11,0,VLOOKUP(J92,C17:O72,11))</f>
        <v>280481.45781944925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329392.39438521734</v>
      </c>
      <c r="N88" s="513">
        <f>IF(J92&lt;D11,0,VLOOKUP(J92,C99:P154,7))</f>
        <v>329392.39438521734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Tulsa Southeast - E. 61st St 138 kV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48910.93656576809</v>
      </c>
      <c r="N89" s="518">
        <f>+N88-N87</f>
        <v>48910.93656576809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TP2017011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6388896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155827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2019</v>
      </c>
      <c r="D99" s="347">
        <v>0</v>
      </c>
      <c r="E99" s="487">
        <f>IF(OR(D11=I10,D92&lt;100000),0,J$96/12*(12-D94))</f>
        <v>0</v>
      </c>
      <c r="F99" s="486">
        <f>IF(D93=C99,+D92-E99,+D99-E99)</f>
        <v>6388896</v>
      </c>
      <c r="G99" s="618">
        <f>+(F99+D99)/2</f>
        <v>3194448</v>
      </c>
      <c r="H99" s="618">
        <f>+J$94*G99+E99</f>
        <v>329392.39438521734</v>
      </c>
      <c r="I99" s="618">
        <f>+J$95*G99+E99</f>
        <v>329392.39438521734</v>
      </c>
      <c r="J99" s="479">
        <f>+I99-H99</f>
        <v>0</v>
      </c>
      <c r="K99" s="479"/>
      <c r="L99" s="619"/>
      <c r="M99" s="478">
        <f t="shared" ref="M99:M130" si="10">IF(L99&lt;&gt;0,+H99-L99,0)</f>
        <v>0</v>
      </c>
      <c r="N99" s="619"/>
      <c r="O99" s="478">
        <f t="shared" ref="O99:O130" si="11">IF(N99&lt;&gt;0,+I99-N99,0)</f>
        <v>0</v>
      </c>
      <c r="P99" s="478">
        <f t="shared" ref="P99:P130" si="12">+O99-M99</f>
        <v>0</v>
      </c>
    </row>
    <row r="100" spans="1:16" ht="12.5">
      <c r="B100" s="160" t="str">
        <f>IF(D100=F99,"","IU")</f>
        <v/>
      </c>
      <c r="C100" s="473">
        <f>IF(D93="","-",+C99+1)</f>
        <v>2020</v>
      </c>
      <c r="D100" s="347">
        <f>IF(F99+SUM(E$99:E99)=D$92,F99,D$92-SUM(E$99:E99))</f>
        <v>6388896</v>
      </c>
      <c r="E100" s="485">
        <f>IF(+J$96&lt;F99,J$96,D100)</f>
        <v>155827</v>
      </c>
      <c r="F100" s="486">
        <f>+D100-E100</f>
        <v>6233069</v>
      </c>
      <c r="G100" s="486">
        <f>+(F100+D100)/2</f>
        <v>6310982.5</v>
      </c>
      <c r="H100" s="614">
        <f t="shared" ref="H100:H154" si="13">+J$94*G100+E100</f>
        <v>806577.81409940158</v>
      </c>
      <c r="I100" s="615">
        <f t="shared" ref="I100:I154" si="14">+J$95*G100+E100</f>
        <v>806577.81409940158</v>
      </c>
      <c r="J100" s="479">
        <f t="shared" ref="J100:J130" si="15">+I100-H100</f>
        <v>0</v>
      </c>
      <c r="K100" s="479"/>
      <c r="L100" s="488"/>
      <c r="M100" s="479">
        <f t="shared" si="10"/>
        <v>0</v>
      </c>
      <c r="N100" s="488"/>
      <c r="O100" s="479">
        <f t="shared" si="11"/>
        <v>0</v>
      </c>
      <c r="P100" s="479">
        <f t="shared" si="12"/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2021</v>
      </c>
      <c r="D101" s="347">
        <f>IF(F100+SUM(E$99:E100)=D$92,F100,D$92-SUM(E$99:E100))</f>
        <v>6233069</v>
      </c>
      <c r="E101" s="485">
        <f t="shared" ref="E101:E154" si="17">IF(+J$96&lt;F100,J$96,D101)</f>
        <v>155827</v>
      </c>
      <c r="F101" s="486">
        <f t="shared" ref="F101:F154" si="18">+D101-E101</f>
        <v>6077242</v>
      </c>
      <c r="G101" s="486">
        <f t="shared" ref="G101:G154" si="19">+(F101+D101)/2</f>
        <v>6155155.5</v>
      </c>
      <c r="H101" s="614">
        <f t="shared" si="13"/>
        <v>790509.86475733516</v>
      </c>
      <c r="I101" s="615">
        <f t="shared" si="14"/>
        <v>790509.86475733516</v>
      </c>
      <c r="J101" s="479">
        <f t="shared" si="15"/>
        <v>0</v>
      </c>
      <c r="K101" s="479"/>
      <c r="L101" s="488"/>
      <c r="M101" s="479">
        <f t="shared" si="10"/>
        <v>0</v>
      </c>
      <c r="N101" s="488"/>
      <c r="O101" s="479">
        <f t="shared" si="11"/>
        <v>0</v>
      </c>
      <c r="P101" s="479">
        <f t="shared" si="12"/>
        <v>0</v>
      </c>
    </row>
    <row r="102" spans="1:16" ht="12.5">
      <c r="B102" s="160" t="str">
        <f t="shared" si="16"/>
        <v/>
      </c>
      <c r="C102" s="473">
        <f>IF(D93="","-",+C101+1)</f>
        <v>2022</v>
      </c>
      <c r="D102" s="347">
        <f>IF(F101+SUM(E$99:E101)=D$92,F101,D$92-SUM(E$99:E101))</f>
        <v>6077242</v>
      </c>
      <c r="E102" s="485">
        <f t="shared" si="17"/>
        <v>155827</v>
      </c>
      <c r="F102" s="486">
        <f t="shared" si="18"/>
        <v>5921415</v>
      </c>
      <c r="G102" s="486">
        <f t="shared" si="19"/>
        <v>5999328.5</v>
      </c>
      <c r="H102" s="614">
        <f t="shared" si="13"/>
        <v>774441.91541526874</v>
      </c>
      <c r="I102" s="615">
        <f t="shared" si="14"/>
        <v>774441.91541526874</v>
      </c>
      <c r="J102" s="479">
        <f t="shared" si="15"/>
        <v>0</v>
      </c>
      <c r="K102" s="479"/>
      <c r="L102" s="488"/>
      <c r="M102" s="479">
        <f t="shared" si="10"/>
        <v>0</v>
      </c>
      <c r="N102" s="488"/>
      <c r="O102" s="479">
        <f t="shared" si="11"/>
        <v>0</v>
      </c>
      <c r="P102" s="479">
        <f t="shared" si="12"/>
        <v>0</v>
      </c>
    </row>
    <row r="103" spans="1:16" ht="12.5">
      <c r="B103" s="160" t="str">
        <f t="shared" si="16"/>
        <v/>
      </c>
      <c r="C103" s="473">
        <f>IF(D93="","-",+C102+1)</f>
        <v>2023</v>
      </c>
      <c r="D103" s="347">
        <f>IF(F102+SUM(E$99:E102)=D$92,F102,D$92-SUM(E$99:E102))</f>
        <v>5921415</v>
      </c>
      <c r="E103" s="485">
        <f t="shared" si="17"/>
        <v>155827</v>
      </c>
      <c r="F103" s="486">
        <f t="shared" si="18"/>
        <v>5765588</v>
      </c>
      <c r="G103" s="486">
        <f t="shared" si="19"/>
        <v>5843501.5</v>
      </c>
      <c r="H103" s="614">
        <f t="shared" si="13"/>
        <v>758373.96607320243</v>
      </c>
      <c r="I103" s="615">
        <f t="shared" si="14"/>
        <v>758373.96607320243</v>
      </c>
      <c r="J103" s="479">
        <f t="shared" si="15"/>
        <v>0</v>
      </c>
      <c r="K103" s="479"/>
      <c r="L103" s="488"/>
      <c r="M103" s="479">
        <f t="shared" si="10"/>
        <v>0</v>
      </c>
      <c r="N103" s="488"/>
      <c r="O103" s="479">
        <f t="shared" si="11"/>
        <v>0</v>
      </c>
      <c r="P103" s="479">
        <f t="shared" si="12"/>
        <v>0</v>
      </c>
    </row>
    <row r="104" spans="1:16" ht="12.5">
      <c r="B104" s="160" t="str">
        <f t="shared" si="16"/>
        <v/>
      </c>
      <c r="C104" s="473">
        <f>IF(D93="","-",+C103+1)</f>
        <v>2024</v>
      </c>
      <c r="D104" s="347">
        <f>IF(F103+SUM(E$99:E103)=D$92,F103,D$92-SUM(E$99:E103))</f>
        <v>5765588</v>
      </c>
      <c r="E104" s="485">
        <f t="shared" si="17"/>
        <v>155827</v>
      </c>
      <c r="F104" s="486">
        <f t="shared" si="18"/>
        <v>5609761</v>
      </c>
      <c r="G104" s="486">
        <f t="shared" si="19"/>
        <v>5687674.5</v>
      </c>
      <c r="H104" s="614">
        <f t="shared" si="13"/>
        <v>742306.01673113601</v>
      </c>
      <c r="I104" s="615">
        <f t="shared" si="14"/>
        <v>742306.01673113601</v>
      </c>
      <c r="J104" s="479">
        <f t="shared" si="15"/>
        <v>0</v>
      </c>
      <c r="K104" s="479"/>
      <c r="L104" s="488"/>
      <c r="M104" s="479">
        <f t="shared" si="10"/>
        <v>0</v>
      </c>
      <c r="N104" s="488"/>
      <c r="O104" s="479">
        <f t="shared" si="11"/>
        <v>0</v>
      </c>
      <c r="P104" s="479">
        <f t="shared" si="12"/>
        <v>0</v>
      </c>
    </row>
    <row r="105" spans="1:16" ht="12.5">
      <c r="B105" s="160" t="str">
        <f t="shared" si="16"/>
        <v/>
      </c>
      <c r="C105" s="473">
        <f>IF(D93="","-",+C104+1)</f>
        <v>2025</v>
      </c>
      <c r="D105" s="347">
        <f>IF(F104+SUM(E$99:E104)=D$92,F104,D$92-SUM(E$99:E104))</f>
        <v>5609761</v>
      </c>
      <c r="E105" s="485">
        <f t="shared" si="17"/>
        <v>155827</v>
      </c>
      <c r="F105" s="486">
        <f t="shared" si="18"/>
        <v>5453934</v>
      </c>
      <c r="G105" s="486">
        <f t="shared" si="19"/>
        <v>5531847.5</v>
      </c>
      <c r="H105" s="614">
        <f t="shared" si="13"/>
        <v>726238.06738906959</v>
      </c>
      <c r="I105" s="615">
        <f t="shared" si="14"/>
        <v>726238.06738906959</v>
      </c>
      <c r="J105" s="479">
        <f t="shared" si="15"/>
        <v>0</v>
      </c>
      <c r="K105" s="479"/>
      <c r="L105" s="488"/>
      <c r="M105" s="479">
        <f t="shared" si="10"/>
        <v>0</v>
      </c>
      <c r="N105" s="488"/>
      <c r="O105" s="479">
        <f t="shared" si="11"/>
        <v>0</v>
      </c>
      <c r="P105" s="479">
        <f t="shared" si="12"/>
        <v>0</v>
      </c>
    </row>
    <row r="106" spans="1:16" ht="12.5">
      <c r="B106" s="160" t="str">
        <f t="shared" si="16"/>
        <v/>
      </c>
      <c r="C106" s="473">
        <f>IF(D93="","-",+C105+1)</f>
        <v>2026</v>
      </c>
      <c r="D106" s="347">
        <f>IF(F105+SUM(E$99:E105)=D$92,F105,D$92-SUM(E$99:E105))</f>
        <v>5453934</v>
      </c>
      <c r="E106" s="485">
        <f t="shared" si="17"/>
        <v>155827</v>
      </c>
      <c r="F106" s="486">
        <f t="shared" si="18"/>
        <v>5298107</v>
      </c>
      <c r="G106" s="486">
        <f t="shared" si="19"/>
        <v>5376020.5</v>
      </c>
      <c r="H106" s="614">
        <f t="shared" si="13"/>
        <v>710170.11804700329</v>
      </c>
      <c r="I106" s="615">
        <f t="shared" si="14"/>
        <v>710170.11804700329</v>
      </c>
      <c r="J106" s="479">
        <f t="shared" si="15"/>
        <v>0</v>
      </c>
      <c r="K106" s="479"/>
      <c r="L106" s="488"/>
      <c r="M106" s="479">
        <f t="shared" si="10"/>
        <v>0</v>
      </c>
      <c r="N106" s="488"/>
      <c r="O106" s="479">
        <f t="shared" si="11"/>
        <v>0</v>
      </c>
      <c r="P106" s="479">
        <f t="shared" si="12"/>
        <v>0</v>
      </c>
    </row>
    <row r="107" spans="1:16" ht="12.5">
      <c r="B107" s="160" t="str">
        <f t="shared" si="16"/>
        <v/>
      </c>
      <c r="C107" s="473">
        <f>IF(D93="","-",+C106+1)</f>
        <v>2027</v>
      </c>
      <c r="D107" s="347">
        <f>IF(F106+SUM(E$99:E106)=D$92,F106,D$92-SUM(E$99:E106))</f>
        <v>5298107</v>
      </c>
      <c r="E107" s="485">
        <f t="shared" si="17"/>
        <v>155827</v>
      </c>
      <c r="F107" s="486">
        <f t="shared" si="18"/>
        <v>5142280</v>
      </c>
      <c r="G107" s="486">
        <f t="shared" si="19"/>
        <v>5220193.5</v>
      </c>
      <c r="H107" s="614">
        <f t="shared" si="13"/>
        <v>694102.16870493686</v>
      </c>
      <c r="I107" s="615">
        <f t="shared" si="14"/>
        <v>694102.16870493686</v>
      </c>
      <c r="J107" s="479">
        <f t="shared" si="15"/>
        <v>0</v>
      </c>
      <c r="K107" s="479"/>
      <c r="L107" s="488"/>
      <c r="M107" s="479">
        <f t="shared" si="10"/>
        <v>0</v>
      </c>
      <c r="N107" s="488"/>
      <c r="O107" s="479">
        <f t="shared" si="11"/>
        <v>0</v>
      </c>
      <c r="P107" s="479">
        <f t="shared" si="12"/>
        <v>0</v>
      </c>
    </row>
    <row r="108" spans="1:16" ht="12.5">
      <c r="B108" s="160" t="str">
        <f t="shared" si="16"/>
        <v/>
      </c>
      <c r="C108" s="473">
        <f>IF(D93="","-",+C107+1)</f>
        <v>2028</v>
      </c>
      <c r="D108" s="347">
        <f>IF(F107+SUM(E$99:E107)=D$92,F107,D$92-SUM(E$99:E107))</f>
        <v>5142280</v>
      </c>
      <c r="E108" s="485">
        <f t="shared" si="17"/>
        <v>155827</v>
      </c>
      <c r="F108" s="486">
        <f t="shared" si="18"/>
        <v>4986453</v>
      </c>
      <c r="G108" s="486">
        <f t="shared" si="19"/>
        <v>5064366.5</v>
      </c>
      <c r="H108" s="614">
        <f t="shared" si="13"/>
        <v>678034.21936287056</v>
      </c>
      <c r="I108" s="615">
        <f t="shared" si="14"/>
        <v>678034.21936287056</v>
      </c>
      <c r="J108" s="479">
        <f t="shared" si="15"/>
        <v>0</v>
      </c>
      <c r="K108" s="479"/>
      <c r="L108" s="488"/>
      <c r="M108" s="479">
        <f t="shared" si="10"/>
        <v>0</v>
      </c>
      <c r="N108" s="488"/>
      <c r="O108" s="479">
        <f t="shared" si="11"/>
        <v>0</v>
      </c>
      <c r="P108" s="479">
        <f t="shared" si="12"/>
        <v>0</v>
      </c>
    </row>
    <row r="109" spans="1:16" ht="12.5">
      <c r="B109" s="160" t="str">
        <f t="shared" si="16"/>
        <v/>
      </c>
      <c r="C109" s="473">
        <f>IF(D93="","-",+C108+1)</f>
        <v>2029</v>
      </c>
      <c r="D109" s="347">
        <f>IF(F108+SUM(E$99:E108)=D$92,F108,D$92-SUM(E$99:E108))</f>
        <v>4986453</v>
      </c>
      <c r="E109" s="485">
        <f t="shared" si="17"/>
        <v>155827</v>
      </c>
      <c r="F109" s="486">
        <f t="shared" si="18"/>
        <v>4830626</v>
      </c>
      <c r="G109" s="486">
        <f t="shared" si="19"/>
        <v>4908539.5</v>
      </c>
      <c r="H109" s="614">
        <f t="shared" si="13"/>
        <v>661966.27002080414</v>
      </c>
      <c r="I109" s="615">
        <f t="shared" si="14"/>
        <v>661966.27002080414</v>
      </c>
      <c r="J109" s="479">
        <f t="shared" si="15"/>
        <v>0</v>
      </c>
      <c r="K109" s="479"/>
      <c r="L109" s="488"/>
      <c r="M109" s="479">
        <f t="shared" si="10"/>
        <v>0</v>
      </c>
      <c r="N109" s="488"/>
      <c r="O109" s="479">
        <f t="shared" si="11"/>
        <v>0</v>
      </c>
      <c r="P109" s="479">
        <f t="shared" si="12"/>
        <v>0</v>
      </c>
    </row>
    <row r="110" spans="1:16" ht="12.5">
      <c r="B110" s="160" t="str">
        <f t="shared" si="16"/>
        <v/>
      </c>
      <c r="C110" s="473">
        <f>IF(D93="","-",+C109+1)</f>
        <v>2030</v>
      </c>
      <c r="D110" s="347">
        <f>IF(F109+SUM(E$99:E109)=D$92,F109,D$92-SUM(E$99:E109))</f>
        <v>4830626</v>
      </c>
      <c r="E110" s="485">
        <f t="shared" si="17"/>
        <v>155827</v>
      </c>
      <c r="F110" s="486">
        <f t="shared" si="18"/>
        <v>4674799</v>
      </c>
      <c r="G110" s="486">
        <f t="shared" si="19"/>
        <v>4752712.5</v>
      </c>
      <c r="H110" s="614">
        <f t="shared" si="13"/>
        <v>645898.32067873771</v>
      </c>
      <c r="I110" s="615">
        <f t="shared" si="14"/>
        <v>645898.32067873771</v>
      </c>
      <c r="J110" s="479">
        <f t="shared" si="15"/>
        <v>0</v>
      </c>
      <c r="K110" s="479"/>
      <c r="L110" s="488"/>
      <c r="M110" s="479">
        <f t="shared" si="10"/>
        <v>0</v>
      </c>
      <c r="N110" s="488"/>
      <c r="O110" s="479">
        <f t="shared" si="11"/>
        <v>0</v>
      </c>
      <c r="P110" s="479">
        <f t="shared" si="12"/>
        <v>0</v>
      </c>
    </row>
    <row r="111" spans="1:16" ht="12.5">
      <c r="B111" s="160" t="str">
        <f t="shared" si="16"/>
        <v/>
      </c>
      <c r="C111" s="473">
        <f>IF(D93="","-",+C110+1)</f>
        <v>2031</v>
      </c>
      <c r="D111" s="347">
        <f>IF(F110+SUM(E$99:E110)=D$92,F110,D$92-SUM(E$99:E110))</f>
        <v>4674799</v>
      </c>
      <c r="E111" s="485">
        <f t="shared" si="17"/>
        <v>155827</v>
      </c>
      <c r="F111" s="486">
        <f t="shared" si="18"/>
        <v>4518972</v>
      </c>
      <c r="G111" s="486">
        <f t="shared" si="19"/>
        <v>4596885.5</v>
      </c>
      <c r="H111" s="614">
        <f t="shared" si="13"/>
        <v>629830.37133667129</v>
      </c>
      <c r="I111" s="615">
        <f t="shared" si="14"/>
        <v>629830.37133667129</v>
      </c>
      <c r="J111" s="479">
        <f t="shared" si="15"/>
        <v>0</v>
      </c>
      <c r="K111" s="479"/>
      <c r="L111" s="488"/>
      <c r="M111" s="479">
        <f t="shared" si="10"/>
        <v>0</v>
      </c>
      <c r="N111" s="488"/>
      <c r="O111" s="479">
        <f t="shared" si="11"/>
        <v>0</v>
      </c>
      <c r="P111" s="479">
        <f t="shared" si="12"/>
        <v>0</v>
      </c>
    </row>
    <row r="112" spans="1:16" ht="12.5">
      <c r="B112" s="160" t="str">
        <f t="shared" si="16"/>
        <v/>
      </c>
      <c r="C112" s="473">
        <f>IF(D93="","-",+C111+1)</f>
        <v>2032</v>
      </c>
      <c r="D112" s="347">
        <f>IF(F111+SUM(E$99:E111)=D$92,F111,D$92-SUM(E$99:E111))</f>
        <v>4518972</v>
      </c>
      <c r="E112" s="485">
        <f t="shared" si="17"/>
        <v>155827</v>
      </c>
      <c r="F112" s="486">
        <f t="shared" si="18"/>
        <v>4363145</v>
      </c>
      <c r="G112" s="486">
        <f t="shared" si="19"/>
        <v>4441058.5</v>
      </c>
      <c r="H112" s="614">
        <f t="shared" si="13"/>
        <v>613762.42199460499</v>
      </c>
      <c r="I112" s="615">
        <f t="shared" si="14"/>
        <v>613762.42199460499</v>
      </c>
      <c r="J112" s="479">
        <f t="shared" si="15"/>
        <v>0</v>
      </c>
      <c r="K112" s="479"/>
      <c r="L112" s="488"/>
      <c r="M112" s="479">
        <f t="shared" si="10"/>
        <v>0</v>
      </c>
      <c r="N112" s="488"/>
      <c r="O112" s="479">
        <f t="shared" si="11"/>
        <v>0</v>
      </c>
      <c r="P112" s="479">
        <f t="shared" si="12"/>
        <v>0</v>
      </c>
    </row>
    <row r="113" spans="2:16" ht="12.5">
      <c r="B113" s="160" t="str">
        <f t="shared" si="16"/>
        <v/>
      </c>
      <c r="C113" s="473">
        <f>IF(D93="","-",+C112+1)</f>
        <v>2033</v>
      </c>
      <c r="D113" s="347">
        <f>IF(F112+SUM(E$99:E112)=D$92,F112,D$92-SUM(E$99:E112))</f>
        <v>4363145</v>
      </c>
      <c r="E113" s="485">
        <f t="shared" si="17"/>
        <v>155827</v>
      </c>
      <c r="F113" s="486">
        <f t="shared" si="18"/>
        <v>4207318</v>
      </c>
      <c r="G113" s="486">
        <f t="shared" si="19"/>
        <v>4285231.5</v>
      </c>
      <c r="H113" s="614">
        <f t="shared" si="13"/>
        <v>597694.47265253856</v>
      </c>
      <c r="I113" s="615">
        <f t="shared" si="14"/>
        <v>597694.47265253856</v>
      </c>
      <c r="J113" s="479">
        <f t="shared" si="15"/>
        <v>0</v>
      </c>
      <c r="K113" s="479"/>
      <c r="L113" s="488"/>
      <c r="M113" s="479">
        <f t="shared" si="10"/>
        <v>0</v>
      </c>
      <c r="N113" s="488"/>
      <c r="O113" s="479">
        <f t="shared" si="11"/>
        <v>0</v>
      </c>
      <c r="P113" s="479">
        <f t="shared" si="12"/>
        <v>0</v>
      </c>
    </row>
    <row r="114" spans="2:16" ht="12.5">
      <c r="B114" s="160" t="str">
        <f t="shared" si="16"/>
        <v/>
      </c>
      <c r="C114" s="473">
        <f>IF(D93="","-",+C113+1)</f>
        <v>2034</v>
      </c>
      <c r="D114" s="347">
        <f>IF(F113+SUM(E$99:E113)=D$92,F113,D$92-SUM(E$99:E113))</f>
        <v>4207318</v>
      </c>
      <c r="E114" s="485">
        <f t="shared" si="17"/>
        <v>155827</v>
      </c>
      <c r="F114" s="486">
        <f t="shared" si="18"/>
        <v>4051491</v>
      </c>
      <c r="G114" s="486">
        <f t="shared" si="19"/>
        <v>4129404.5</v>
      </c>
      <c r="H114" s="614">
        <f t="shared" si="13"/>
        <v>581626.52331047226</v>
      </c>
      <c r="I114" s="615">
        <f t="shared" si="14"/>
        <v>581626.52331047226</v>
      </c>
      <c r="J114" s="479">
        <f t="shared" si="15"/>
        <v>0</v>
      </c>
      <c r="K114" s="479"/>
      <c r="L114" s="488"/>
      <c r="M114" s="479">
        <f t="shared" si="10"/>
        <v>0</v>
      </c>
      <c r="N114" s="488"/>
      <c r="O114" s="479">
        <f t="shared" si="11"/>
        <v>0</v>
      </c>
      <c r="P114" s="479">
        <f t="shared" si="12"/>
        <v>0</v>
      </c>
    </row>
    <row r="115" spans="2:16" ht="12.5">
      <c r="B115" s="160" t="str">
        <f t="shared" si="16"/>
        <v/>
      </c>
      <c r="C115" s="473">
        <f>IF(D93="","-",+C114+1)</f>
        <v>2035</v>
      </c>
      <c r="D115" s="347">
        <f>IF(F114+SUM(E$99:E114)=D$92,F114,D$92-SUM(E$99:E114))</f>
        <v>4051491</v>
      </c>
      <c r="E115" s="485">
        <f t="shared" si="17"/>
        <v>155827</v>
      </c>
      <c r="F115" s="486">
        <f t="shared" si="18"/>
        <v>3895664</v>
      </c>
      <c r="G115" s="486">
        <f t="shared" si="19"/>
        <v>3973577.5</v>
      </c>
      <c r="H115" s="614">
        <f t="shared" si="13"/>
        <v>565558.57396840584</v>
      </c>
      <c r="I115" s="615">
        <f t="shared" si="14"/>
        <v>565558.57396840584</v>
      </c>
      <c r="J115" s="479">
        <f t="shared" si="15"/>
        <v>0</v>
      </c>
      <c r="K115" s="479"/>
      <c r="L115" s="488"/>
      <c r="M115" s="479">
        <f t="shared" si="10"/>
        <v>0</v>
      </c>
      <c r="N115" s="488"/>
      <c r="O115" s="479">
        <f t="shared" si="11"/>
        <v>0</v>
      </c>
      <c r="P115" s="479">
        <f t="shared" si="12"/>
        <v>0</v>
      </c>
    </row>
    <row r="116" spans="2:16" ht="12.5">
      <c r="B116" s="160" t="str">
        <f t="shared" si="16"/>
        <v/>
      </c>
      <c r="C116" s="473">
        <f>IF(D93="","-",+C115+1)</f>
        <v>2036</v>
      </c>
      <c r="D116" s="347">
        <f>IF(F115+SUM(E$99:E115)=D$92,F115,D$92-SUM(E$99:E115))</f>
        <v>3895664</v>
      </c>
      <c r="E116" s="485">
        <f t="shared" si="17"/>
        <v>155827</v>
      </c>
      <c r="F116" s="486">
        <f t="shared" si="18"/>
        <v>3739837</v>
      </c>
      <c r="G116" s="486">
        <f t="shared" si="19"/>
        <v>3817750.5</v>
      </c>
      <c r="H116" s="614">
        <f t="shared" si="13"/>
        <v>549490.62462633941</v>
      </c>
      <c r="I116" s="615">
        <f t="shared" si="14"/>
        <v>549490.62462633941</v>
      </c>
      <c r="J116" s="479">
        <f t="shared" si="15"/>
        <v>0</v>
      </c>
      <c r="K116" s="479"/>
      <c r="L116" s="488"/>
      <c r="M116" s="479">
        <f t="shared" si="10"/>
        <v>0</v>
      </c>
      <c r="N116" s="488"/>
      <c r="O116" s="479">
        <f t="shared" si="11"/>
        <v>0</v>
      </c>
      <c r="P116" s="479">
        <f t="shared" si="12"/>
        <v>0</v>
      </c>
    </row>
    <row r="117" spans="2:16" ht="12.5">
      <c r="B117" s="160" t="str">
        <f t="shared" si="16"/>
        <v/>
      </c>
      <c r="C117" s="473">
        <f>IF(D93="","-",+C116+1)</f>
        <v>2037</v>
      </c>
      <c r="D117" s="347">
        <f>IF(F116+SUM(E$99:E116)=D$92,F116,D$92-SUM(E$99:E116))</f>
        <v>3739837</v>
      </c>
      <c r="E117" s="485">
        <f t="shared" si="17"/>
        <v>155827</v>
      </c>
      <c r="F117" s="486">
        <f t="shared" si="18"/>
        <v>3584010</v>
      </c>
      <c r="G117" s="486">
        <f t="shared" si="19"/>
        <v>3661923.5</v>
      </c>
      <c r="H117" s="614">
        <f t="shared" si="13"/>
        <v>533422.67528427299</v>
      </c>
      <c r="I117" s="615">
        <f t="shared" si="14"/>
        <v>533422.67528427299</v>
      </c>
      <c r="J117" s="479">
        <f t="shared" si="15"/>
        <v>0</v>
      </c>
      <c r="K117" s="479"/>
      <c r="L117" s="488"/>
      <c r="M117" s="479">
        <f t="shared" si="10"/>
        <v>0</v>
      </c>
      <c r="N117" s="488"/>
      <c r="O117" s="479">
        <f t="shared" si="11"/>
        <v>0</v>
      </c>
      <c r="P117" s="479">
        <f t="shared" si="12"/>
        <v>0</v>
      </c>
    </row>
    <row r="118" spans="2:16" ht="12.5">
      <c r="B118" s="160" t="str">
        <f t="shared" si="16"/>
        <v/>
      </c>
      <c r="C118" s="473">
        <f>IF(D93="","-",+C117+1)</f>
        <v>2038</v>
      </c>
      <c r="D118" s="347">
        <f>IF(F117+SUM(E$99:E117)=D$92,F117,D$92-SUM(E$99:E117))</f>
        <v>3584010</v>
      </c>
      <c r="E118" s="485">
        <f t="shared" si="17"/>
        <v>155827</v>
      </c>
      <c r="F118" s="486">
        <f t="shared" si="18"/>
        <v>3428183</v>
      </c>
      <c r="G118" s="486">
        <f t="shared" si="19"/>
        <v>3506096.5</v>
      </c>
      <c r="H118" s="614">
        <f t="shared" si="13"/>
        <v>517354.72594220669</v>
      </c>
      <c r="I118" s="615">
        <f t="shared" si="14"/>
        <v>517354.72594220669</v>
      </c>
      <c r="J118" s="479">
        <f t="shared" si="15"/>
        <v>0</v>
      </c>
      <c r="K118" s="479"/>
      <c r="L118" s="488"/>
      <c r="M118" s="479">
        <f t="shared" si="10"/>
        <v>0</v>
      </c>
      <c r="N118" s="488"/>
      <c r="O118" s="479">
        <f t="shared" si="11"/>
        <v>0</v>
      </c>
      <c r="P118" s="479">
        <f t="shared" si="12"/>
        <v>0</v>
      </c>
    </row>
    <row r="119" spans="2:16" ht="12.5">
      <c r="B119" s="160" t="str">
        <f t="shared" si="16"/>
        <v/>
      </c>
      <c r="C119" s="473">
        <f>IF(D93="","-",+C118+1)</f>
        <v>2039</v>
      </c>
      <c r="D119" s="347">
        <f>IF(F118+SUM(E$99:E118)=D$92,F118,D$92-SUM(E$99:E118))</f>
        <v>3428183</v>
      </c>
      <c r="E119" s="485">
        <f t="shared" si="17"/>
        <v>155827</v>
      </c>
      <c r="F119" s="486">
        <f t="shared" si="18"/>
        <v>3272356</v>
      </c>
      <c r="G119" s="486">
        <f t="shared" si="19"/>
        <v>3350269.5</v>
      </c>
      <c r="H119" s="614">
        <f t="shared" si="13"/>
        <v>501286.77660014032</v>
      </c>
      <c r="I119" s="615">
        <f t="shared" si="14"/>
        <v>501286.77660014032</v>
      </c>
      <c r="J119" s="479">
        <f t="shared" si="15"/>
        <v>0</v>
      </c>
      <c r="K119" s="479"/>
      <c r="L119" s="488"/>
      <c r="M119" s="479">
        <f t="shared" si="10"/>
        <v>0</v>
      </c>
      <c r="N119" s="488"/>
      <c r="O119" s="479">
        <f t="shared" si="11"/>
        <v>0</v>
      </c>
      <c r="P119" s="479">
        <f t="shared" si="12"/>
        <v>0</v>
      </c>
    </row>
    <row r="120" spans="2:16" ht="12.5">
      <c r="B120" s="160" t="str">
        <f t="shared" si="16"/>
        <v/>
      </c>
      <c r="C120" s="473">
        <f>IF(D93="","-",+C119+1)</f>
        <v>2040</v>
      </c>
      <c r="D120" s="347">
        <f>IF(F119+SUM(E$99:E119)=D$92,F119,D$92-SUM(E$99:E119))</f>
        <v>3272356</v>
      </c>
      <c r="E120" s="485">
        <f t="shared" si="17"/>
        <v>155827</v>
      </c>
      <c r="F120" s="486">
        <f t="shared" si="18"/>
        <v>3116529</v>
      </c>
      <c r="G120" s="486">
        <f t="shared" si="19"/>
        <v>3194442.5</v>
      </c>
      <c r="H120" s="614">
        <f t="shared" si="13"/>
        <v>485218.8272580739</v>
      </c>
      <c r="I120" s="615">
        <f t="shared" si="14"/>
        <v>485218.8272580739</v>
      </c>
      <c r="J120" s="479">
        <f t="shared" si="15"/>
        <v>0</v>
      </c>
      <c r="K120" s="479"/>
      <c r="L120" s="488"/>
      <c r="M120" s="479">
        <f t="shared" si="10"/>
        <v>0</v>
      </c>
      <c r="N120" s="488"/>
      <c r="O120" s="479">
        <f t="shared" si="11"/>
        <v>0</v>
      </c>
      <c r="P120" s="479">
        <f t="shared" si="12"/>
        <v>0</v>
      </c>
    </row>
    <row r="121" spans="2:16" ht="12.5">
      <c r="B121" s="160" t="str">
        <f t="shared" si="16"/>
        <v/>
      </c>
      <c r="C121" s="473">
        <f>IF(D93="","-",+C120+1)</f>
        <v>2041</v>
      </c>
      <c r="D121" s="347">
        <f>IF(F120+SUM(E$99:E120)=D$92,F120,D$92-SUM(E$99:E120))</f>
        <v>3116529</v>
      </c>
      <c r="E121" s="485">
        <f t="shared" si="17"/>
        <v>155827</v>
      </c>
      <c r="F121" s="486">
        <f t="shared" si="18"/>
        <v>2960702</v>
      </c>
      <c r="G121" s="486">
        <f t="shared" si="19"/>
        <v>3038615.5</v>
      </c>
      <c r="H121" s="614">
        <f t="shared" si="13"/>
        <v>469150.87791600754</v>
      </c>
      <c r="I121" s="615">
        <f t="shared" si="14"/>
        <v>469150.87791600754</v>
      </c>
      <c r="J121" s="479">
        <f t="shared" si="15"/>
        <v>0</v>
      </c>
      <c r="K121" s="479"/>
      <c r="L121" s="488"/>
      <c r="M121" s="479">
        <f t="shared" si="10"/>
        <v>0</v>
      </c>
      <c r="N121" s="488"/>
      <c r="O121" s="479">
        <f t="shared" si="11"/>
        <v>0</v>
      </c>
      <c r="P121" s="479">
        <f t="shared" si="12"/>
        <v>0</v>
      </c>
    </row>
    <row r="122" spans="2:16" ht="12.5">
      <c r="B122" s="160" t="str">
        <f t="shared" si="16"/>
        <v/>
      </c>
      <c r="C122" s="473">
        <f>IF(D93="","-",+C121+1)</f>
        <v>2042</v>
      </c>
      <c r="D122" s="347">
        <f>IF(F121+SUM(E$99:E121)=D$92,F121,D$92-SUM(E$99:E121))</f>
        <v>2960702</v>
      </c>
      <c r="E122" s="485">
        <f t="shared" si="17"/>
        <v>155827</v>
      </c>
      <c r="F122" s="486">
        <f t="shared" si="18"/>
        <v>2804875</v>
      </c>
      <c r="G122" s="486">
        <f t="shared" si="19"/>
        <v>2882788.5</v>
      </c>
      <c r="H122" s="614">
        <f t="shared" si="13"/>
        <v>453082.92857394117</v>
      </c>
      <c r="I122" s="615">
        <f t="shared" si="14"/>
        <v>453082.92857394117</v>
      </c>
      <c r="J122" s="479">
        <f t="shared" si="15"/>
        <v>0</v>
      </c>
      <c r="K122" s="479"/>
      <c r="L122" s="488"/>
      <c r="M122" s="479">
        <f t="shared" si="10"/>
        <v>0</v>
      </c>
      <c r="N122" s="488"/>
      <c r="O122" s="479">
        <f t="shared" si="11"/>
        <v>0</v>
      </c>
      <c r="P122" s="479">
        <f t="shared" si="12"/>
        <v>0</v>
      </c>
    </row>
    <row r="123" spans="2:16" ht="12.5">
      <c r="B123" s="160" t="str">
        <f t="shared" si="16"/>
        <v/>
      </c>
      <c r="C123" s="473">
        <f>IF(D93="","-",+C122+1)</f>
        <v>2043</v>
      </c>
      <c r="D123" s="347">
        <f>IF(F122+SUM(E$99:E122)=D$92,F122,D$92-SUM(E$99:E122))</f>
        <v>2804875</v>
      </c>
      <c r="E123" s="485">
        <f t="shared" si="17"/>
        <v>155827</v>
      </c>
      <c r="F123" s="486">
        <f t="shared" si="18"/>
        <v>2649048</v>
      </c>
      <c r="G123" s="486">
        <f t="shared" si="19"/>
        <v>2726961.5</v>
      </c>
      <c r="H123" s="614">
        <f t="shared" si="13"/>
        <v>437014.97923187475</v>
      </c>
      <c r="I123" s="615">
        <f t="shared" si="14"/>
        <v>437014.97923187475</v>
      </c>
      <c r="J123" s="479">
        <f t="shared" si="15"/>
        <v>0</v>
      </c>
      <c r="K123" s="479"/>
      <c r="L123" s="488"/>
      <c r="M123" s="479">
        <f t="shared" si="10"/>
        <v>0</v>
      </c>
      <c r="N123" s="488"/>
      <c r="O123" s="479">
        <f t="shared" si="11"/>
        <v>0</v>
      </c>
      <c r="P123" s="479">
        <f t="shared" si="12"/>
        <v>0</v>
      </c>
    </row>
    <row r="124" spans="2:16" ht="12.5">
      <c r="B124" s="160" t="str">
        <f t="shared" si="16"/>
        <v/>
      </c>
      <c r="C124" s="473">
        <f>IF(D93="","-",+C123+1)</f>
        <v>2044</v>
      </c>
      <c r="D124" s="347">
        <f>IF(F123+SUM(E$99:E123)=D$92,F123,D$92-SUM(E$99:E123))</f>
        <v>2649048</v>
      </c>
      <c r="E124" s="485">
        <f t="shared" si="17"/>
        <v>155827</v>
      </c>
      <c r="F124" s="486">
        <f t="shared" si="18"/>
        <v>2493221</v>
      </c>
      <c r="G124" s="486">
        <f t="shared" si="19"/>
        <v>2571134.5</v>
      </c>
      <c r="H124" s="614">
        <f t="shared" si="13"/>
        <v>420947.02988980839</v>
      </c>
      <c r="I124" s="615">
        <f t="shared" si="14"/>
        <v>420947.02988980839</v>
      </c>
      <c r="J124" s="479">
        <f t="shared" si="15"/>
        <v>0</v>
      </c>
      <c r="K124" s="479"/>
      <c r="L124" s="488"/>
      <c r="M124" s="479">
        <f t="shared" si="10"/>
        <v>0</v>
      </c>
      <c r="N124" s="488"/>
      <c r="O124" s="479">
        <f t="shared" si="11"/>
        <v>0</v>
      </c>
      <c r="P124" s="479">
        <f t="shared" si="12"/>
        <v>0</v>
      </c>
    </row>
    <row r="125" spans="2:16" ht="12.5">
      <c r="B125" s="160" t="str">
        <f t="shared" si="16"/>
        <v/>
      </c>
      <c r="C125" s="473">
        <f>IF(D93="","-",+C124+1)</f>
        <v>2045</v>
      </c>
      <c r="D125" s="347">
        <f>IF(F124+SUM(E$99:E124)=D$92,F124,D$92-SUM(E$99:E124))</f>
        <v>2493221</v>
      </c>
      <c r="E125" s="485">
        <f t="shared" si="17"/>
        <v>155827</v>
      </c>
      <c r="F125" s="486">
        <f t="shared" si="18"/>
        <v>2337394</v>
      </c>
      <c r="G125" s="486">
        <f t="shared" si="19"/>
        <v>2415307.5</v>
      </c>
      <c r="H125" s="614">
        <f t="shared" si="13"/>
        <v>404879.08054774202</v>
      </c>
      <c r="I125" s="615">
        <f t="shared" si="14"/>
        <v>404879.08054774202</v>
      </c>
      <c r="J125" s="479">
        <f t="shared" si="15"/>
        <v>0</v>
      </c>
      <c r="K125" s="479"/>
      <c r="L125" s="488"/>
      <c r="M125" s="479">
        <f t="shared" si="10"/>
        <v>0</v>
      </c>
      <c r="N125" s="488"/>
      <c r="O125" s="479">
        <f t="shared" si="11"/>
        <v>0</v>
      </c>
      <c r="P125" s="479">
        <f t="shared" si="12"/>
        <v>0</v>
      </c>
    </row>
    <row r="126" spans="2:16" ht="12.5">
      <c r="B126" s="160" t="str">
        <f t="shared" si="16"/>
        <v/>
      </c>
      <c r="C126" s="473">
        <f>IF(D93="","-",+C125+1)</f>
        <v>2046</v>
      </c>
      <c r="D126" s="347">
        <f>IF(F125+SUM(E$99:E125)=D$92,F125,D$92-SUM(E$99:E125))</f>
        <v>2337394</v>
      </c>
      <c r="E126" s="485">
        <f t="shared" si="17"/>
        <v>155827</v>
      </c>
      <c r="F126" s="486">
        <f t="shared" si="18"/>
        <v>2181567</v>
      </c>
      <c r="G126" s="486">
        <f t="shared" si="19"/>
        <v>2259480.5</v>
      </c>
      <c r="H126" s="614">
        <f t="shared" si="13"/>
        <v>388811.13120567566</v>
      </c>
      <c r="I126" s="615">
        <f t="shared" si="14"/>
        <v>388811.13120567566</v>
      </c>
      <c r="J126" s="479">
        <f t="shared" si="15"/>
        <v>0</v>
      </c>
      <c r="K126" s="479"/>
      <c r="L126" s="488"/>
      <c r="M126" s="479">
        <f t="shared" si="10"/>
        <v>0</v>
      </c>
      <c r="N126" s="488"/>
      <c r="O126" s="479">
        <f t="shared" si="11"/>
        <v>0</v>
      </c>
      <c r="P126" s="479">
        <f t="shared" si="12"/>
        <v>0</v>
      </c>
    </row>
    <row r="127" spans="2:16" ht="12.5">
      <c r="B127" s="160" t="str">
        <f t="shared" si="16"/>
        <v/>
      </c>
      <c r="C127" s="473">
        <f>IF(D93="","-",+C126+1)</f>
        <v>2047</v>
      </c>
      <c r="D127" s="347">
        <f>IF(F126+SUM(E$99:E126)=D$92,F126,D$92-SUM(E$99:E126))</f>
        <v>2181567</v>
      </c>
      <c r="E127" s="485">
        <f t="shared" si="17"/>
        <v>155827</v>
      </c>
      <c r="F127" s="486">
        <f t="shared" si="18"/>
        <v>2025740</v>
      </c>
      <c r="G127" s="486">
        <f t="shared" si="19"/>
        <v>2103653.5</v>
      </c>
      <c r="H127" s="614">
        <f t="shared" si="13"/>
        <v>372743.18186360924</v>
      </c>
      <c r="I127" s="615">
        <f t="shared" si="14"/>
        <v>372743.18186360924</v>
      </c>
      <c r="J127" s="479">
        <f t="shared" si="15"/>
        <v>0</v>
      </c>
      <c r="K127" s="479"/>
      <c r="L127" s="488"/>
      <c r="M127" s="479">
        <f t="shared" si="10"/>
        <v>0</v>
      </c>
      <c r="N127" s="488"/>
      <c r="O127" s="479">
        <f t="shared" si="11"/>
        <v>0</v>
      </c>
      <c r="P127" s="479">
        <f t="shared" si="12"/>
        <v>0</v>
      </c>
    </row>
    <row r="128" spans="2:16" ht="12.5">
      <c r="B128" s="160" t="str">
        <f t="shared" si="16"/>
        <v/>
      </c>
      <c r="C128" s="473">
        <f>IF(D93="","-",+C127+1)</f>
        <v>2048</v>
      </c>
      <c r="D128" s="347">
        <f>IF(F127+SUM(E$99:E127)=D$92,F127,D$92-SUM(E$99:E127))</f>
        <v>2025740</v>
      </c>
      <c r="E128" s="485">
        <f t="shared" si="17"/>
        <v>155827</v>
      </c>
      <c r="F128" s="486">
        <f t="shared" si="18"/>
        <v>1869913</v>
      </c>
      <c r="G128" s="486">
        <f t="shared" si="19"/>
        <v>1947826.5</v>
      </c>
      <c r="H128" s="614">
        <f t="shared" si="13"/>
        <v>356675.23252154287</v>
      </c>
      <c r="I128" s="615">
        <f t="shared" si="14"/>
        <v>356675.23252154287</v>
      </c>
      <c r="J128" s="479">
        <f t="shared" si="15"/>
        <v>0</v>
      </c>
      <c r="K128" s="479"/>
      <c r="L128" s="488"/>
      <c r="M128" s="479">
        <f t="shared" si="10"/>
        <v>0</v>
      </c>
      <c r="N128" s="488"/>
      <c r="O128" s="479">
        <f t="shared" si="11"/>
        <v>0</v>
      </c>
      <c r="P128" s="479">
        <f t="shared" si="12"/>
        <v>0</v>
      </c>
    </row>
    <row r="129" spans="2:16" ht="12.5">
      <c r="B129" s="160" t="str">
        <f t="shared" si="16"/>
        <v/>
      </c>
      <c r="C129" s="473">
        <f>IF(D93="","-",+C128+1)</f>
        <v>2049</v>
      </c>
      <c r="D129" s="347">
        <f>IF(F128+SUM(E$99:E128)=D$92,F128,D$92-SUM(E$99:E128))</f>
        <v>1869913</v>
      </c>
      <c r="E129" s="485">
        <f t="shared" si="17"/>
        <v>155827</v>
      </c>
      <c r="F129" s="486">
        <f t="shared" si="18"/>
        <v>1714086</v>
      </c>
      <c r="G129" s="486">
        <f t="shared" si="19"/>
        <v>1791999.5</v>
      </c>
      <c r="H129" s="614">
        <f t="shared" si="13"/>
        <v>340607.28317947651</v>
      </c>
      <c r="I129" s="615">
        <f t="shared" si="14"/>
        <v>340607.28317947651</v>
      </c>
      <c r="J129" s="479">
        <f t="shared" si="15"/>
        <v>0</v>
      </c>
      <c r="K129" s="479"/>
      <c r="L129" s="488"/>
      <c r="M129" s="479">
        <f t="shared" si="10"/>
        <v>0</v>
      </c>
      <c r="N129" s="488"/>
      <c r="O129" s="479">
        <f t="shared" si="11"/>
        <v>0</v>
      </c>
      <c r="P129" s="479">
        <f t="shared" si="12"/>
        <v>0</v>
      </c>
    </row>
    <row r="130" spans="2:16" ht="12.5">
      <c r="B130" s="160" t="str">
        <f t="shared" si="16"/>
        <v/>
      </c>
      <c r="C130" s="473">
        <f>IF(D93="","-",+C129+1)</f>
        <v>2050</v>
      </c>
      <c r="D130" s="347">
        <f>IF(F129+SUM(E$99:E129)=D$92,F129,D$92-SUM(E$99:E129))</f>
        <v>1714086</v>
      </c>
      <c r="E130" s="485">
        <f t="shared" si="17"/>
        <v>155827</v>
      </c>
      <c r="F130" s="486">
        <f t="shared" si="18"/>
        <v>1558259</v>
      </c>
      <c r="G130" s="486">
        <f t="shared" si="19"/>
        <v>1636172.5</v>
      </c>
      <c r="H130" s="614">
        <f t="shared" si="13"/>
        <v>324539.33383741009</v>
      </c>
      <c r="I130" s="615">
        <f t="shared" si="14"/>
        <v>324539.33383741009</v>
      </c>
      <c r="J130" s="479">
        <f t="shared" si="15"/>
        <v>0</v>
      </c>
      <c r="K130" s="479"/>
      <c r="L130" s="488"/>
      <c r="M130" s="479">
        <f t="shared" si="10"/>
        <v>0</v>
      </c>
      <c r="N130" s="488"/>
      <c r="O130" s="479">
        <f t="shared" si="11"/>
        <v>0</v>
      </c>
      <c r="P130" s="479">
        <f t="shared" si="12"/>
        <v>0</v>
      </c>
    </row>
    <row r="131" spans="2:16" ht="12.5">
      <c r="B131" s="160" t="str">
        <f t="shared" si="16"/>
        <v/>
      </c>
      <c r="C131" s="473">
        <f>IF(D93="","-",+C130+1)</f>
        <v>2051</v>
      </c>
      <c r="D131" s="347">
        <f>IF(F130+SUM(E$99:E130)=D$92,F130,D$92-SUM(E$99:E130))</f>
        <v>1558259</v>
      </c>
      <c r="E131" s="485">
        <f t="shared" si="17"/>
        <v>155827</v>
      </c>
      <c r="F131" s="486">
        <f t="shared" si="18"/>
        <v>1402432</v>
      </c>
      <c r="G131" s="486">
        <f t="shared" si="19"/>
        <v>1480345.5</v>
      </c>
      <c r="H131" s="614">
        <f t="shared" si="13"/>
        <v>308471.38449534372</v>
      </c>
      <c r="I131" s="615">
        <f t="shared" si="14"/>
        <v>308471.38449534372</v>
      </c>
      <c r="J131" s="479">
        <f t="shared" ref="J131:J154" si="20">+I541-H541</f>
        <v>0</v>
      </c>
      <c r="K131" s="479"/>
      <c r="L131" s="488"/>
      <c r="M131" s="479">
        <f t="shared" ref="M131:M154" si="21">IF(L541&lt;&gt;0,+H541-L541,0)</f>
        <v>0</v>
      </c>
      <c r="N131" s="488"/>
      <c r="O131" s="479">
        <f t="shared" ref="O131:O154" si="22">IF(N541&lt;&gt;0,+I541-N541,0)</f>
        <v>0</v>
      </c>
      <c r="P131" s="479">
        <f t="shared" ref="P131:P154" si="23">+O541-M541</f>
        <v>0</v>
      </c>
    </row>
    <row r="132" spans="2:16" ht="12.5">
      <c r="B132" s="160" t="str">
        <f t="shared" si="16"/>
        <v/>
      </c>
      <c r="C132" s="473">
        <f>IF(D93="","-",+C131+1)</f>
        <v>2052</v>
      </c>
      <c r="D132" s="347">
        <f>IF(F131+SUM(E$99:E131)=D$92,F131,D$92-SUM(E$99:E131))</f>
        <v>1402432</v>
      </c>
      <c r="E132" s="485">
        <f t="shared" si="17"/>
        <v>155827</v>
      </c>
      <c r="F132" s="486">
        <f t="shared" si="18"/>
        <v>1246605</v>
      </c>
      <c r="G132" s="486">
        <f t="shared" si="19"/>
        <v>1324518.5</v>
      </c>
      <c r="H132" s="614">
        <f t="shared" si="13"/>
        <v>292403.43515327736</v>
      </c>
      <c r="I132" s="615">
        <f t="shared" si="14"/>
        <v>292403.43515327736</v>
      </c>
      <c r="J132" s="479">
        <f t="shared" si="20"/>
        <v>0</v>
      </c>
      <c r="K132" s="479"/>
      <c r="L132" s="488"/>
      <c r="M132" s="479">
        <f t="shared" si="21"/>
        <v>0</v>
      </c>
      <c r="N132" s="488"/>
      <c r="O132" s="479">
        <f t="shared" si="22"/>
        <v>0</v>
      </c>
      <c r="P132" s="479">
        <f t="shared" si="23"/>
        <v>0</v>
      </c>
    </row>
    <row r="133" spans="2:16" ht="12.5">
      <c r="B133" s="160" t="str">
        <f t="shared" si="16"/>
        <v/>
      </c>
      <c r="C133" s="473">
        <f>IF(D93="","-",+C132+1)</f>
        <v>2053</v>
      </c>
      <c r="D133" s="347">
        <f>IF(F132+SUM(E$99:E132)=D$92,F132,D$92-SUM(E$99:E132))</f>
        <v>1246605</v>
      </c>
      <c r="E133" s="485">
        <f t="shared" si="17"/>
        <v>155827</v>
      </c>
      <c r="F133" s="486">
        <f t="shared" si="18"/>
        <v>1090778</v>
      </c>
      <c r="G133" s="486">
        <f t="shared" si="19"/>
        <v>1168691.5</v>
      </c>
      <c r="H133" s="614">
        <f t="shared" si="13"/>
        <v>276335.48581121094</v>
      </c>
      <c r="I133" s="615">
        <f t="shared" si="14"/>
        <v>276335.48581121094</v>
      </c>
      <c r="J133" s="479">
        <f t="shared" si="20"/>
        <v>0</v>
      </c>
      <c r="K133" s="479"/>
      <c r="L133" s="488"/>
      <c r="M133" s="479">
        <f t="shared" si="21"/>
        <v>0</v>
      </c>
      <c r="N133" s="488"/>
      <c r="O133" s="479">
        <f t="shared" si="22"/>
        <v>0</v>
      </c>
      <c r="P133" s="479">
        <f t="shared" si="23"/>
        <v>0</v>
      </c>
    </row>
    <row r="134" spans="2:16" ht="12.5">
      <c r="B134" s="160" t="str">
        <f t="shared" si="16"/>
        <v/>
      </c>
      <c r="C134" s="473">
        <f>IF(D93="","-",+C133+1)</f>
        <v>2054</v>
      </c>
      <c r="D134" s="347">
        <f>IF(F133+SUM(E$99:E133)=D$92,F133,D$92-SUM(E$99:E133))</f>
        <v>1090778</v>
      </c>
      <c r="E134" s="485">
        <f t="shared" si="17"/>
        <v>155827</v>
      </c>
      <c r="F134" s="486">
        <f t="shared" si="18"/>
        <v>934951</v>
      </c>
      <c r="G134" s="486">
        <f t="shared" si="19"/>
        <v>1012864.5</v>
      </c>
      <c r="H134" s="614">
        <f t="shared" si="13"/>
        <v>260267.53646914457</v>
      </c>
      <c r="I134" s="615">
        <f t="shared" si="14"/>
        <v>260267.53646914457</v>
      </c>
      <c r="J134" s="479">
        <f t="shared" si="20"/>
        <v>0</v>
      </c>
      <c r="K134" s="479"/>
      <c r="L134" s="488"/>
      <c r="M134" s="479">
        <f t="shared" si="21"/>
        <v>0</v>
      </c>
      <c r="N134" s="488"/>
      <c r="O134" s="479">
        <f t="shared" si="22"/>
        <v>0</v>
      </c>
      <c r="P134" s="479">
        <f t="shared" si="23"/>
        <v>0</v>
      </c>
    </row>
    <row r="135" spans="2:16" ht="12.5">
      <c r="B135" s="160" t="str">
        <f t="shared" si="16"/>
        <v/>
      </c>
      <c r="C135" s="473">
        <f>IF(D93="","-",+C134+1)</f>
        <v>2055</v>
      </c>
      <c r="D135" s="347">
        <f>IF(F134+SUM(E$99:E134)=D$92,F134,D$92-SUM(E$99:E134))</f>
        <v>934951</v>
      </c>
      <c r="E135" s="485">
        <f t="shared" si="17"/>
        <v>155827</v>
      </c>
      <c r="F135" s="486">
        <f t="shared" si="18"/>
        <v>779124</v>
      </c>
      <c r="G135" s="486">
        <f t="shared" si="19"/>
        <v>857037.5</v>
      </c>
      <c r="H135" s="614">
        <f t="shared" si="13"/>
        <v>244199.58712707821</v>
      </c>
      <c r="I135" s="615">
        <f t="shared" si="14"/>
        <v>244199.58712707821</v>
      </c>
      <c r="J135" s="479">
        <f t="shared" si="20"/>
        <v>0</v>
      </c>
      <c r="K135" s="479"/>
      <c r="L135" s="488"/>
      <c r="M135" s="479">
        <f t="shared" si="21"/>
        <v>0</v>
      </c>
      <c r="N135" s="488"/>
      <c r="O135" s="479">
        <f t="shared" si="22"/>
        <v>0</v>
      </c>
      <c r="P135" s="479">
        <f t="shared" si="23"/>
        <v>0</v>
      </c>
    </row>
    <row r="136" spans="2:16" ht="12.5">
      <c r="B136" s="160" t="str">
        <f t="shared" si="16"/>
        <v/>
      </c>
      <c r="C136" s="473">
        <f>IF(D93="","-",+C135+1)</f>
        <v>2056</v>
      </c>
      <c r="D136" s="347">
        <f>IF(F135+SUM(E$99:E135)=D$92,F135,D$92-SUM(E$99:E135))</f>
        <v>779124</v>
      </c>
      <c r="E136" s="485">
        <f t="shared" si="17"/>
        <v>155827</v>
      </c>
      <c r="F136" s="486">
        <f t="shared" si="18"/>
        <v>623297</v>
      </c>
      <c r="G136" s="486">
        <f t="shared" si="19"/>
        <v>701210.5</v>
      </c>
      <c r="H136" s="614">
        <f t="shared" si="13"/>
        <v>228131.63778501184</v>
      </c>
      <c r="I136" s="615">
        <f t="shared" si="14"/>
        <v>228131.63778501184</v>
      </c>
      <c r="J136" s="479">
        <f t="shared" si="20"/>
        <v>0</v>
      </c>
      <c r="K136" s="479"/>
      <c r="L136" s="488"/>
      <c r="M136" s="479">
        <f t="shared" si="21"/>
        <v>0</v>
      </c>
      <c r="N136" s="488"/>
      <c r="O136" s="479">
        <f t="shared" si="22"/>
        <v>0</v>
      </c>
      <c r="P136" s="479">
        <f t="shared" si="23"/>
        <v>0</v>
      </c>
    </row>
    <row r="137" spans="2:16" ht="12.5">
      <c r="B137" s="160" t="str">
        <f t="shared" si="16"/>
        <v/>
      </c>
      <c r="C137" s="473">
        <f>IF(D93="","-",+C136+1)</f>
        <v>2057</v>
      </c>
      <c r="D137" s="347">
        <f>IF(F136+SUM(E$99:E136)=D$92,F136,D$92-SUM(E$99:E136))</f>
        <v>623297</v>
      </c>
      <c r="E137" s="485">
        <f t="shared" si="17"/>
        <v>155827</v>
      </c>
      <c r="F137" s="486">
        <f t="shared" si="18"/>
        <v>467470</v>
      </c>
      <c r="G137" s="486">
        <f t="shared" si="19"/>
        <v>545383.5</v>
      </c>
      <c r="H137" s="614">
        <f t="shared" si="13"/>
        <v>212063.68844294545</v>
      </c>
      <c r="I137" s="615">
        <f t="shared" si="14"/>
        <v>212063.68844294545</v>
      </c>
      <c r="J137" s="479">
        <f t="shared" si="20"/>
        <v>0</v>
      </c>
      <c r="K137" s="479"/>
      <c r="L137" s="488"/>
      <c r="M137" s="479">
        <f t="shared" si="21"/>
        <v>0</v>
      </c>
      <c r="N137" s="488"/>
      <c r="O137" s="479">
        <f t="shared" si="22"/>
        <v>0</v>
      </c>
      <c r="P137" s="479">
        <f t="shared" si="23"/>
        <v>0</v>
      </c>
    </row>
    <row r="138" spans="2:16" ht="12.5">
      <c r="B138" s="160" t="str">
        <f t="shared" si="16"/>
        <v/>
      </c>
      <c r="C138" s="473">
        <f>IF(D93="","-",+C137+1)</f>
        <v>2058</v>
      </c>
      <c r="D138" s="347">
        <f>IF(F137+SUM(E$99:E137)=D$92,F137,D$92-SUM(E$99:E137))</f>
        <v>467470</v>
      </c>
      <c r="E138" s="485">
        <f t="shared" si="17"/>
        <v>155827</v>
      </c>
      <c r="F138" s="486">
        <f t="shared" si="18"/>
        <v>311643</v>
      </c>
      <c r="G138" s="486">
        <f t="shared" si="19"/>
        <v>389556.5</v>
      </c>
      <c r="H138" s="614">
        <f t="shared" si="13"/>
        <v>195995.73910087906</v>
      </c>
      <c r="I138" s="615">
        <f t="shared" si="14"/>
        <v>195995.73910087906</v>
      </c>
      <c r="J138" s="479">
        <f t="shared" si="20"/>
        <v>0</v>
      </c>
      <c r="K138" s="479"/>
      <c r="L138" s="488"/>
      <c r="M138" s="479">
        <f t="shared" si="21"/>
        <v>0</v>
      </c>
      <c r="N138" s="488"/>
      <c r="O138" s="479">
        <f t="shared" si="22"/>
        <v>0</v>
      </c>
      <c r="P138" s="479">
        <f t="shared" si="23"/>
        <v>0</v>
      </c>
    </row>
    <row r="139" spans="2:16" ht="12.5">
      <c r="B139" s="160" t="str">
        <f t="shared" si="16"/>
        <v/>
      </c>
      <c r="C139" s="473">
        <f>IF(D93="","-",+C138+1)</f>
        <v>2059</v>
      </c>
      <c r="D139" s="347">
        <f>IF(F138+SUM(E$99:E138)=D$92,F138,D$92-SUM(E$99:E138))</f>
        <v>311643</v>
      </c>
      <c r="E139" s="485">
        <f t="shared" si="17"/>
        <v>155827</v>
      </c>
      <c r="F139" s="486">
        <f t="shared" si="18"/>
        <v>155816</v>
      </c>
      <c r="G139" s="486">
        <f t="shared" si="19"/>
        <v>233729.5</v>
      </c>
      <c r="H139" s="614">
        <f t="shared" si="13"/>
        <v>179927.78975881269</v>
      </c>
      <c r="I139" s="615">
        <f t="shared" si="14"/>
        <v>179927.78975881269</v>
      </c>
      <c r="J139" s="479">
        <f t="shared" si="20"/>
        <v>0</v>
      </c>
      <c r="K139" s="479"/>
      <c r="L139" s="488"/>
      <c r="M139" s="479">
        <f t="shared" si="21"/>
        <v>0</v>
      </c>
      <c r="N139" s="488"/>
      <c r="O139" s="479">
        <f t="shared" si="22"/>
        <v>0</v>
      </c>
      <c r="P139" s="479">
        <f t="shared" si="23"/>
        <v>0</v>
      </c>
    </row>
    <row r="140" spans="2:16" ht="12.5">
      <c r="B140" s="160" t="str">
        <f t="shared" si="16"/>
        <v/>
      </c>
      <c r="C140" s="473">
        <f>IF(D93="","-",+C139+1)</f>
        <v>2060</v>
      </c>
      <c r="D140" s="347">
        <f>IF(F139+SUM(E$99:E139)=D$92,F139,D$92-SUM(E$99:E139))</f>
        <v>155816</v>
      </c>
      <c r="E140" s="485">
        <f t="shared" si="17"/>
        <v>155816</v>
      </c>
      <c r="F140" s="486">
        <f t="shared" si="18"/>
        <v>0</v>
      </c>
      <c r="G140" s="486">
        <f t="shared" si="19"/>
        <v>77908</v>
      </c>
      <c r="H140" s="614">
        <f t="shared" si="13"/>
        <v>163849.40754388974</v>
      </c>
      <c r="I140" s="615">
        <f t="shared" si="14"/>
        <v>163849.40754388974</v>
      </c>
      <c r="J140" s="479">
        <f t="shared" si="20"/>
        <v>0</v>
      </c>
      <c r="K140" s="479"/>
      <c r="L140" s="488"/>
      <c r="M140" s="479">
        <f t="shared" si="21"/>
        <v>0</v>
      </c>
      <c r="N140" s="488"/>
      <c r="O140" s="479">
        <f t="shared" si="22"/>
        <v>0</v>
      </c>
      <c r="P140" s="479">
        <f t="shared" si="23"/>
        <v>0</v>
      </c>
    </row>
    <row r="141" spans="2:16" ht="12.5">
      <c r="B141" s="160" t="str">
        <f t="shared" si="16"/>
        <v/>
      </c>
      <c r="C141" s="473">
        <f>IF(D93="","-",+C140+1)</f>
        <v>2061</v>
      </c>
      <c r="D141" s="347">
        <f>IF(F140+SUM(E$99:E140)=D$92,F140,D$92-SUM(E$99:E140))</f>
        <v>0</v>
      </c>
      <c r="E141" s="485">
        <f t="shared" si="17"/>
        <v>0</v>
      </c>
      <c r="F141" s="486">
        <f t="shared" si="18"/>
        <v>0</v>
      </c>
      <c r="G141" s="486">
        <f t="shared" si="19"/>
        <v>0</v>
      </c>
      <c r="H141" s="614">
        <f t="shared" si="13"/>
        <v>0</v>
      </c>
      <c r="I141" s="615">
        <f t="shared" si="14"/>
        <v>0</v>
      </c>
      <c r="J141" s="479">
        <f t="shared" si="20"/>
        <v>0</v>
      </c>
      <c r="K141" s="479"/>
      <c r="L141" s="488"/>
      <c r="M141" s="479">
        <f t="shared" si="21"/>
        <v>0</v>
      </c>
      <c r="N141" s="488"/>
      <c r="O141" s="479">
        <f t="shared" si="22"/>
        <v>0</v>
      </c>
      <c r="P141" s="479">
        <f t="shared" si="23"/>
        <v>0</v>
      </c>
    </row>
    <row r="142" spans="2:16" ht="12.5">
      <c r="B142" s="160" t="str">
        <f t="shared" si="16"/>
        <v/>
      </c>
      <c r="C142" s="473">
        <f>IF(D93="","-",+C141+1)</f>
        <v>2062</v>
      </c>
      <c r="D142" s="347">
        <f>IF(F141+SUM(E$99:E141)=D$92,F141,D$92-SUM(E$99:E141))</f>
        <v>0</v>
      </c>
      <c r="E142" s="485">
        <f t="shared" si="17"/>
        <v>0</v>
      </c>
      <c r="F142" s="486">
        <f t="shared" si="18"/>
        <v>0</v>
      </c>
      <c r="G142" s="486">
        <f t="shared" si="19"/>
        <v>0</v>
      </c>
      <c r="H142" s="614">
        <f t="shared" si="13"/>
        <v>0</v>
      </c>
      <c r="I142" s="615">
        <f t="shared" si="14"/>
        <v>0</v>
      </c>
      <c r="J142" s="479">
        <f t="shared" si="20"/>
        <v>0</v>
      </c>
      <c r="K142" s="479"/>
      <c r="L142" s="488"/>
      <c r="M142" s="479">
        <f t="shared" si="21"/>
        <v>0</v>
      </c>
      <c r="N142" s="488"/>
      <c r="O142" s="479">
        <f t="shared" si="22"/>
        <v>0</v>
      </c>
      <c r="P142" s="479">
        <f t="shared" si="23"/>
        <v>0</v>
      </c>
    </row>
    <row r="143" spans="2:16" ht="12.5">
      <c r="B143" s="160" t="str">
        <f t="shared" si="16"/>
        <v/>
      </c>
      <c r="C143" s="473">
        <f>IF(D93="","-",+C142+1)</f>
        <v>2063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614">
        <f t="shared" si="13"/>
        <v>0</v>
      </c>
      <c r="I143" s="615">
        <f t="shared" si="14"/>
        <v>0</v>
      </c>
      <c r="J143" s="479">
        <f t="shared" si="20"/>
        <v>0</v>
      </c>
      <c r="K143" s="479"/>
      <c r="L143" s="488"/>
      <c r="M143" s="479">
        <f t="shared" si="21"/>
        <v>0</v>
      </c>
      <c r="N143" s="488"/>
      <c r="O143" s="479">
        <f t="shared" si="22"/>
        <v>0</v>
      </c>
      <c r="P143" s="479">
        <f t="shared" si="23"/>
        <v>0</v>
      </c>
    </row>
    <row r="144" spans="2:16" ht="12.5">
      <c r="B144" s="160" t="str">
        <f t="shared" si="16"/>
        <v/>
      </c>
      <c r="C144" s="473">
        <f>IF(D93="","-",+C143+1)</f>
        <v>2064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614">
        <f t="shared" si="13"/>
        <v>0</v>
      </c>
      <c r="I144" s="615">
        <f t="shared" si="14"/>
        <v>0</v>
      </c>
      <c r="J144" s="479">
        <f t="shared" si="20"/>
        <v>0</v>
      </c>
      <c r="K144" s="479"/>
      <c r="L144" s="488"/>
      <c r="M144" s="479">
        <f t="shared" si="21"/>
        <v>0</v>
      </c>
      <c r="N144" s="488"/>
      <c r="O144" s="479">
        <f t="shared" si="22"/>
        <v>0</v>
      </c>
      <c r="P144" s="479">
        <f t="shared" si="23"/>
        <v>0</v>
      </c>
    </row>
    <row r="145" spans="2:16" ht="12.5">
      <c r="B145" s="160" t="str">
        <f t="shared" si="16"/>
        <v/>
      </c>
      <c r="C145" s="473">
        <f>IF(D93="","-",+C144+1)</f>
        <v>2065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614">
        <f t="shared" si="13"/>
        <v>0</v>
      </c>
      <c r="I145" s="615">
        <f t="shared" si="14"/>
        <v>0</v>
      </c>
      <c r="J145" s="479">
        <f t="shared" si="20"/>
        <v>0</v>
      </c>
      <c r="K145" s="479"/>
      <c r="L145" s="488"/>
      <c r="M145" s="479">
        <f t="shared" si="21"/>
        <v>0</v>
      </c>
      <c r="N145" s="488"/>
      <c r="O145" s="479">
        <f t="shared" si="22"/>
        <v>0</v>
      </c>
      <c r="P145" s="479">
        <f t="shared" si="23"/>
        <v>0</v>
      </c>
    </row>
    <row r="146" spans="2:16" ht="12.5">
      <c r="B146" s="160" t="str">
        <f t="shared" si="16"/>
        <v/>
      </c>
      <c r="C146" s="473">
        <f>IF(D93="","-",+C145+1)</f>
        <v>2066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614">
        <f t="shared" si="13"/>
        <v>0</v>
      </c>
      <c r="I146" s="615">
        <f t="shared" si="14"/>
        <v>0</v>
      </c>
      <c r="J146" s="479">
        <f t="shared" si="20"/>
        <v>0</v>
      </c>
      <c r="K146" s="479"/>
      <c r="L146" s="488"/>
      <c r="M146" s="479">
        <f t="shared" si="21"/>
        <v>0</v>
      </c>
      <c r="N146" s="488"/>
      <c r="O146" s="479">
        <f t="shared" si="22"/>
        <v>0</v>
      </c>
      <c r="P146" s="479">
        <f t="shared" si="23"/>
        <v>0</v>
      </c>
    </row>
    <row r="147" spans="2:16" ht="12.5">
      <c r="B147" s="160" t="str">
        <f t="shared" si="16"/>
        <v/>
      </c>
      <c r="C147" s="473">
        <f>IF(D93="","-",+C146+1)</f>
        <v>2067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614">
        <f t="shared" si="13"/>
        <v>0</v>
      </c>
      <c r="I147" s="615">
        <f t="shared" si="14"/>
        <v>0</v>
      </c>
      <c r="J147" s="479">
        <f t="shared" si="20"/>
        <v>0</v>
      </c>
      <c r="K147" s="479"/>
      <c r="L147" s="488"/>
      <c r="M147" s="479">
        <f t="shared" si="21"/>
        <v>0</v>
      </c>
      <c r="N147" s="488"/>
      <c r="O147" s="479">
        <f t="shared" si="22"/>
        <v>0</v>
      </c>
      <c r="P147" s="479">
        <f t="shared" si="23"/>
        <v>0</v>
      </c>
    </row>
    <row r="148" spans="2:16" ht="12.5">
      <c r="B148" s="160" t="str">
        <f t="shared" si="16"/>
        <v/>
      </c>
      <c r="C148" s="473">
        <f>IF(D93="","-",+C147+1)</f>
        <v>2068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614">
        <f t="shared" si="13"/>
        <v>0</v>
      </c>
      <c r="I148" s="615">
        <f t="shared" si="14"/>
        <v>0</v>
      </c>
      <c r="J148" s="479">
        <f t="shared" si="20"/>
        <v>0</v>
      </c>
      <c r="K148" s="479"/>
      <c r="L148" s="488"/>
      <c r="M148" s="479">
        <f t="shared" si="21"/>
        <v>0</v>
      </c>
      <c r="N148" s="488"/>
      <c r="O148" s="479">
        <f t="shared" si="22"/>
        <v>0</v>
      </c>
      <c r="P148" s="479">
        <f t="shared" si="23"/>
        <v>0</v>
      </c>
    </row>
    <row r="149" spans="2:16" ht="12.5">
      <c r="B149" s="160" t="str">
        <f t="shared" si="16"/>
        <v/>
      </c>
      <c r="C149" s="473">
        <f>IF(D93="","-",+C148+1)</f>
        <v>2069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614">
        <f t="shared" si="13"/>
        <v>0</v>
      </c>
      <c r="I149" s="615">
        <f t="shared" si="14"/>
        <v>0</v>
      </c>
      <c r="J149" s="479">
        <f t="shared" si="20"/>
        <v>0</v>
      </c>
      <c r="K149" s="479"/>
      <c r="L149" s="488"/>
      <c r="M149" s="479">
        <f t="shared" si="21"/>
        <v>0</v>
      </c>
      <c r="N149" s="488"/>
      <c r="O149" s="479">
        <f t="shared" si="22"/>
        <v>0</v>
      </c>
      <c r="P149" s="479">
        <f t="shared" si="23"/>
        <v>0</v>
      </c>
    </row>
    <row r="150" spans="2:16" ht="12.5">
      <c r="B150" s="160" t="str">
        <f t="shared" si="16"/>
        <v/>
      </c>
      <c r="C150" s="473">
        <f>IF(D93="","-",+C149+1)</f>
        <v>2070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614">
        <f t="shared" si="13"/>
        <v>0</v>
      </c>
      <c r="I150" s="615">
        <f t="shared" si="14"/>
        <v>0</v>
      </c>
      <c r="J150" s="479">
        <f t="shared" si="20"/>
        <v>0</v>
      </c>
      <c r="K150" s="479"/>
      <c r="L150" s="488"/>
      <c r="M150" s="479">
        <f t="shared" si="21"/>
        <v>0</v>
      </c>
      <c r="N150" s="488"/>
      <c r="O150" s="479">
        <f t="shared" si="22"/>
        <v>0</v>
      </c>
      <c r="P150" s="479">
        <f t="shared" si="23"/>
        <v>0</v>
      </c>
    </row>
    <row r="151" spans="2:16" ht="12.5">
      <c r="B151" s="160" t="str">
        <f t="shared" si="16"/>
        <v/>
      </c>
      <c r="C151" s="473">
        <f>IF(D93="","-",+C150+1)</f>
        <v>2071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614">
        <f t="shared" si="13"/>
        <v>0</v>
      </c>
      <c r="I151" s="615">
        <f t="shared" si="14"/>
        <v>0</v>
      </c>
      <c r="J151" s="479">
        <f t="shared" si="20"/>
        <v>0</v>
      </c>
      <c r="K151" s="479"/>
      <c r="L151" s="488"/>
      <c r="M151" s="479">
        <f t="shared" si="21"/>
        <v>0</v>
      </c>
      <c r="N151" s="488"/>
      <c r="O151" s="479">
        <f t="shared" si="22"/>
        <v>0</v>
      </c>
      <c r="P151" s="479">
        <f t="shared" si="23"/>
        <v>0</v>
      </c>
    </row>
    <row r="152" spans="2:16" ht="12.5">
      <c r="B152" s="160" t="str">
        <f t="shared" si="16"/>
        <v/>
      </c>
      <c r="C152" s="473">
        <f>IF(D93="","-",+C151+1)</f>
        <v>2072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614">
        <f t="shared" si="13"/>
        <v>0</v>
      </c>
      <c r="I152" s="615">
        <f t="shared" si="14"/>
        <v>0</v>
      </c>
      <c r="J152" s="479">
        <f t="shared" si="20"/>
        <v>0</v>
      </c>
      <c r="K152" s="479"/>
      <c r="L152" s="488"/>
      <c r="M152" s="479">
        <f t="shared" si="21"/>
        <v>0</v>
      </c>
      <c r="N152" s="488"/>
      <c r="O152" s="479">
        <f t="shared" si="22"/>
        <v>0</v>
      </c>
      <c r="P152" s="479">
        <f t="shared" si="23"/>
        <v>0</v>
      </c>
    </row>
    <row r="153" spans="2:16" ht="12.5">
      <c r="B153" s="160" t="str">
        <f t="shared" si="16"/>
        <v/>
      </c>
      <c r="C153" s="473">
        <f>IF(D93="","-",+C152+1)</f>
        <v>2073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614">
        <f t="shared" si="13"/>
        <v>0</v>
      </c>
      <c r="I153" s="615">
        <f t="shared" si="14"/>
        <v>0</v>
      </c>
      <c r="J153" s="479">
        <f t="shared" si="20"/>
        <v>0</v>
      </c>
      <c r="K153" s="479"/>
      <c r="L153" s="488"/>
      <c r="M153" s="479">
        <f t="shared" si="21"/>
        <v>0</v>
      </c>
      <c r="N153" s="488"/>
      <c r="O153" s="479">
        <f t="shared" si="22"/>
        <v>0</v>
      </c>
      <c r="P153" s="479">
        <f t="shared" si="23"/>
        <v>0</v>
      </c>
    </row>
    <row r="154" spans="2:16" ht="13" thickBot="1">
      <c r="B154" s="160" t="str">
        <f t="shared" si="16"/>
        <v/>
      </c>
      <c r="C154" s="490">
        <f>IF(D93="","-",+C153+1)</f>
        <v>2074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6">
        <f t="shared" si="13"/>
        <v>0</v>
      </c>
      <c r="I154" s="617">
        <f t="shared" si="14"/>
        <v>0</v>
      </c>
      <c r="J154" s="496">
        <f t="shared" si="20"/>
        <v>0</v>
      </c>
      <c r="K154" s="479"/>
      <c r="L154" s="495"/>
      <c r="M154" s="496">
        <f t="shared" si="21"/>
        <v>0</v>
      </c>
      <c r="N154" s="495"/>
      <c r="O154" s="496">
        <f t="shared" si="22"/>
        <v>0</v>
      </c>
      <c r="P154" s="496">
        <f t="shared" si="23"/>
        <v>0</v>
      </c>
    </row>
    <row r="155" spans="2:16" ht="12.5">
      <c r="C155" s="347" t="s">
        <v>77</v>
      </c>
      <c r="D155" s="348"/>
      <c r="E155" s="348">
        <f>SUM(E99:E154)</f>
        <v>6388896</v>
      </c>
      <c r="F155" s="348"/>
      <c r="G155" s="348"/>
      <c r="H155" s="348">
        <f>SUM(H99:H154)</f>
        <v>20223353.87909339</v>
      </c>
      <c r="I155" s="348">
        <f>SUM(I99:I154)</f>
        <v>20223353.87909339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tabSelected="1" topLeftCell="F109" zoomScale="70" zoomScaleNormal="70" zoomScaleSheetLayoutView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0.7265625" style="148" customWidth="1"/>
    <col min="4" max="9" width="17.7265625" style="148" customWidth="1"/>
    <col min="10" max="10" width="17.7265625" style="148" bestFit="1" customWidth="1"/>
    <col min="11" max="11" width="2.1796875" style="148" customWidth="1"/>
    <col min="12" max="15" width="17.7265625" style="148" customWidth="1"/>
    <col min="16" max="16" width="19.54296875" style="148" customWidth="1"/>
    <col min="17" max="17" width="2.1796875" style="148" customWidth="1"/>
    <col min="18" max="18" width="16.453125" style="148" customWidth="1"/>
    <col min="19" max="19" width="52.453125" style="148" customWidth="1"/>
    <col min="20" max="16384" width="8.7265625" style="148"/>
  </cols>
  <sheetData>
    <row r="1" spans="1:19" ht="17.5">
      <c r="A1" s="636" t="str">
        <f>PSO.WS.F.BPU.ATRR.Projected!A1</f>
        <v xml:space="preserve">AEP West SPP Member Companies 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Q1" s="195"/>
      <c r="R1" s="195"/>
    </row>
    <row r="2" spans="1:19" ht="17.5">
      <c r="A2" s="636" t="str">
        <f>PSO.WS.F.BPU.ATRR.Projected!A2</f>
        <v>2020 Cost of Service Formula Rate Projected on 2019 FF1 Balances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Q2" s="240" t="s">
        <v>125</v>
      </c>
      <c r="R2" s="195"/>
    </row>
    <row r="3" spans="1:19" ht="18">
      <c r="A3" s="639" t="s">
        <v>141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Q3" s="195"/>
      <c r="R3" s="195"/>
    </row>
    <row r="4" spans="1:19" ht="17.5">
      <c r="A4" s="638" t="str">
        <f>"Based on a Carrying Charge Derived from ""Trued-Up"" "&amp;M16&amp;" Data"</f>
        <v>Based on a Carrying Charge Derived from "Trued-Up" 2019 Data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Q4" s="195"/>
      <c r="R4" s="195"/>
    </row>
    <row r="5" spans="1:19" ht="18">
      <c r="A5" s="644" t="str">
        <f>PSO.WS.F.BPU.ATRR.Projected!A5</f>
        <v>PUBLIC SERVICE COMPANY OF OKLAHOMA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Q5" s="195"/>
      <c r="R5" s="195"/>
    </row>
    <row r="6" spans="1:19" ht="20">
      <c r="A6" s="374"/>
      <c r="C6" s="304"/>
      <c r="D6" s="160"/>
      <c r="I6" s="217"/>
      <c r="K6" s="195"/>
      <c r="Q6" s="195"/>
      <c r="R6" s="195"/>
    </row>
    <row r="7" spans="1:19" ht="12.5">
      <c r="D7" s="160"/>
      <c r="I7" s="217"/>
      <c r="K7" s="195"/>
      <c r="Q7" s="195"/>
      <c r="R7" s="195"/>
    </row>
    <row r="8" spans="1:19" ht="38.25" customHeight="1">
      <c r="B8" s="244" t="s">
        <v>0</v>
      </c>
      <c r="C8" s="641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2"/>
      <c r="E8" s="642"/>
      <c r="F8" s="642"/>
      <c r="G8" s="642"/>
      <c r="H8" s="642"/>
      <c r="I8" s="642"/>
      <c r="K8" s="195"/>
      <c r="Q8" s="195"/>
      <c r="R8" s="195"/>
    </row>
    <row r="9" spans="1:19" ht="15.75" customHeight="1">
      <c r="C9" s="375"/>
      <c r="D9" s="375"/>
      <c r="E9" s="375"/>
      <c r="F9" s="375"/>
      <c r="G9" s="375"/>
      <c r="H9" s="375"/>
      <c r="I9" s="375"/>
      <c r="K9" s="195"/>
      <c r="Q9" s="195"/>
      <c r="R9" s="195"/>
    </row>
    <row r="10" spans="1:19" ht="15.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7"/>
      <c r="K10" s="195"/>
      <c r="Q10" s="195"/>
      <c r="R10" s="195"/>
    </row>
    <row r="11" spans="1:19" ht="12.5">
      <c r="D11" s="160"/>
      <c r="I11" s="217"/>
      <c r="K11" s="195"/>
      <c r="Q11" s="195"/>
      <c r="R11" s="195"/>
    </row>
    <row r="12" spans="1:19" ht="12.5">
      <c r="C12" s="248" t="str">
        <f>S105</f>
        <v xml:space="preserve">   ROE w/o incentives  (True-Up TCOS, ln 135)</v>
      </c>
      <c r="D12" s="160"/>
      <c r="E12" s="249"/>
      <c r="F12" s="250">
        <f>+R105</f>
        <v>0.105</v>
      </c>
      <c r="G12" s="250"/>
      <c r="H12" s="251"/>
      <c r="I12" s="252"/>
      <c r="J12" s="253"/>
      <c r="K12" s="254"/>
      <c r="L12" s="253"/>
      <c r="M12" s="253"/>
      <c r="N12" s="253"/>
      <c r="O12" s="253"/>
      <c r="P12" s="253"/>
      <c r="Q12" s="254"/>
      <c r="R12" s="243"/>
      <c r="S12" s="233"/>
    </row>
    <row r="13" spans="1:19" ht="13" thickBot="1">
      <c r="C13" s="248" t="s">
        <v>1</v>
      </c>
      <c r="D13" s="160"/>
      <c r="E13" s="249"/>
      <c r="F13" s="376">
        <f>R106</f>
        <v>0</v>
      </c>
      <c r="G13" s="377" t="s">
        <v>152</v>
      </c>
      <c r="L13" s="253"/>
      <c r="M13" s="253"/>
      <c r="N13" s="253"/>
      <c r="O13" s="253"/>
      <c r="P13" s="253"/>
      <c r="Q13" s="254"/>
      <c r="R13" s="243"/>
      <c r="S13" s="233"/>
    </row>
    <row r="14" spans="1:19" ht="13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0.105</v>
      </c>
      <c r="G14" s="257" t="s">
        <v>2</v>
      </c>
      <c r="I14" s="253"/>
      <c r="J14" s="253"/>
      <c r="K14" s="254"/>
      <c r="L14" s="378" t="s">
        <v>89</v>
      </c>
      <c r="M14" s="379"/>
      <c r="N14" s="379"/>
      <c r="O14" s="379"/>
      <c r="P14" s="380"/>
      <c r="Q14" s="254"/>
      <c r="R14" s="243"/>
      <c r="S14" s="233"/>
    </row>
    <row r="15" spans="1:19" ht="12.5">
      <c r="C15" s="248" t="s">
        <v>235</v>
      </c>
      <c r="D15" s="160"/>
      <c r="E15" s="249"/>
      <c r="F15" s="256"/>
      <c r="G15" s="256"/>
      <c r="H15" s="249"/>
      <c r="I15" s="253"/>
      <c r="J15" s="253"/>
      <c r="K15" s="254"/>
      <c r="L15" s="266"/>
      <c r="M15" s="254"/>
      <c r="N15" s="254" t="s">
        <v>8</v>
      </c>
      <c r="O15" s="254" t="s">
        <v>9</v>
      </c>
      <c r="P15" s="268" t="s">
        <v>10</v>
      </c>
      <c r="Q15" s="254"/>
      <c r="R15" s="243"/>
      <c r="S15" s="233"/>
    </row>
    <row r="16" spans="1:19" ht="12.5">
      <c r="C16" s="254"/>
      <c r="D16" s="258" t="s">
        <v>4</v>
      </c>
      <c r="E16" s="258" t="s">
        <v>5</v>
      </c>
      <c r="F16" s="259" t="s">
        <v>6</v>
      </c>
      <c r="G16" s="259"/>
      <c r="H16" s="249"/>
      <c r="I16" s="253"/>
      <c r="J16" s="253"/>
      <c r="K16" s="254"/>
      <c r="L16" s="266" t="s">
        <v>90</v>
      </c>
      <c r="M16" s="381">
        <f>+R104</f>
        <v>2019</v>
      </c>
      <c r="N16" s="195"/>
      <c r="O16" s="195"/>
      <c r="P16" s="273"/>
      <c r="Q16" s="254"/>
      <c r="R16" s="243"/>
      <c r="S16" s="233"/>
    </row>
    <row r="17" spans="3:19" ht="12.5">
      <c r="C17" s="260" t="s">
        <v>7</v>
      </c>
      <c r="D17" s="261">
        <f>R107</f>
        <v>0.51594421374413535</v>
      </c>
      <c r="E17" s="262">
        <f>R108</f>
        <v>4.5957173907919965E-2</v>
      </c>
      <c r="F17" s="382">
        <f>E17*D17</f>
        <v>2.371133795782426E-2</v>
      </c>
      <c r="G17" s="382"/>
      <c r="H17" s="249"/>
      <c r="I17" s="253"/>
      <c r="J17" s="264"/>
      <c r="K17" s="265"/>
      <c r="L17" s="272"/>
      <c r="M17" s="383" t="s">
        <v>219</v>
      </c>
      <c r="N17" s="384">
        <f>SUM('P.001:P.xyz - blank'!M87)</f>
        <v>7284760.4319926891</v>
      </c>
      <c r="O17" s="384">
        <f>SUM('P.001:P.xyz - blank'!N87)</f>
        <v>7284760.4319926891</v>
      </c>
      <c r="P17" s="385">
        <f>+O17-N17</f>
        <v>0</v>
      </c>
      <c r="Q17" s="265"/>
      <c r="R17" s="243"/>
      <c r="S17" s="233"/>
    </row>
    <row r="18" spans="3:19" ht="13" thickBot="1">
      <c r="C18" s="260" t="s">
        <v>11</v>
      </c>
      <c r="D18" s="261">
        <f>R109</f>
        <v>0</v>
      </c>
      <c r="E18" s="262">
        <f>R110</f>
        <v>0</v>
      </c>
      <c r="F18" s="382">
        <f>E18*D18</f>
        <v>0</v>
      </c>
      <c r="G18" s="382"/>
      <c r="H18" s="269"/>
      <c r="I18" s="269"/>
      <c r="J18" s="270"/>
      <c r="K18" s="271"/>
      <c r="L18" s="272"/>
      <c r="M18" s="386" t="s">
        <v>218</v>
      </c>
      <c r="N18" s="387">
        <f>SUM('P.001:P.xyz - blank'!M88)</f>
        <v>6892824.3905835506</v>
      </c>
      <c r="O18" s="387">
        <f>SUM('P.001:P.xyz - blank'!N88)</f>
        <v>6892824.3905835506</v>
      </c>
      <c r="P18" s="279">
        <f>+O18-N18</f>
        <v>0</v>
      </c>
      <c r="Q18" s="271"/>
      <c r="R18" s="243"/>
      <c r="S18" s="233"/>
    </row>
    <row r="19" spans="3:19" ht="12.5">
      <c r="C19" s="274" t="s">
        <v>12</v>
      </c>
      <c r="D19" s="261">
        <f>R111</f>
        <v>0.48405578625586471</v>
      </c>
      <c r="E19" s="262">
        <f>+F14</f>
        <v>0.105</v>
      </c>
      <c r="F19" s="388">
        <f>E19*D19</f>
        <v>5.0825857556865792E-2</v>
      </c>
      <c r="G19" s="388"/>
      <c r="H19" s="269"/>
      <c r="I19" s="269"/>
      <c r="J19" s="256"/>
      <c r="K19" s="271"/>
      <c r="L19" s="272"/>
      <c r="M19" s="389" t="str">
        <f>"True-up Adjustment For "&amp;M16&amp;""</f>
        <v>True-up Adjustment For 2019</v>
      </c>
      <c r="N19" s="390">
        <f>+N18-N17</f>
        <v>-391936.04140913859</v>
      </c>
      <c r="O19" s="390">
        <f>+O18-O17</f>
        <v>-391936.04140913859</v>
      </c>
      <c r="P19" s="391">
        <f>+P18-P17</f>
        <v>0</v>
      </c>
      <c r="Q19" s="271"/>
      <c r="R19" s="243"/>
      <c r="S19" s="233"/>
    </row>
    <row r="20" spans="3:19" ht="12.5">
      <c r="C20" s="248"/>
      <c r="D20" s="249"/>
      <c r="E20" s="280" t="s">
        <v>14</v>
      </c>
      <c r="F20" s="382">
        <f>SUM(F17:F19)</f>
        <v>7.4537195514690055E-2</v>
      </c>
      <c r="G20" s="382"/>
      <c r="H20" s="392"/>
      <c r="I20" s="269"/>
      <c r="J20" s="270"/>
      <c r="K20" s="271"/>
      <c r="L20" s="272"/>
      <c r="M20" s="195"/>
      <c r="N20" s="281" t="str">
        <f>IF(ROUND(N19,0)=ROUND(SUM('P.001:P.xyz - blank'!M89),0),"","ERROR")</f>
        <v/>
      </c>
      <c r="O20" s="281" t="str">
        <f>IF(ROUND(O19,0)=ROUND(SUM('P.001:P.xyz - blank'!N89),0),"","ERROR")</f>
        <v/>
      </c>
      <c r="P20" s="281" t="str">
        <f>IF(P19=SUM('P.001:P.xyz - blank'!O89),"","ERROR")</f>
        <v/>
      </c>
      <c r="Q20" s="271"/>
      <c r="R20" s="243"/>
      <c r="S20" s="233"/>
    </row>
    <row r="21" spans="3:19" ht="13" thickBot="1">
      <c r="D21" s="282"/>
      <c r="E21" s="282"/>
      <c r="F21" s="269"/>
      <c r="G21" s="269"/>
      <c r="H21" s="269"/>
      <c r="I21" s="269"/>
      <c r="J21" s="269"/>
      <c r="K21" s="283"/>
      <c r="L21" s="393"/>
      <c r="M21" s="394"/>
      <c r="N21" s="395"/>
      <c r="O21" s="395"/>
      <c r="P21" s="279"/>
      <c r="Q21" s="283"/>
      <c r="R21" s="243"/>
      <c r="S21" s="233"/>
    </row>
    <row r="22" spans="3:19" ht="15.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84"/>
      <c r="H22" s="269"/>
      <c r="I22" s="249"/>
      <c r="J22" s="269"/>
      <c r="K22" s="283"/>
      <c r="L22" s="269"/>
      <c r="M22" s="269"/>
      <c r="N22" s="269"/>
      <c r="O22" s="269"/>
      <c r="P22" s="269"/>
      <c r="Q22" s="283"/>
      <c r="R22" s="243"/>
      <c r="S22" s="233"/>
    </row>
    <row r="23" spans="3:19" ht="13">
      <c r="C23" s="254"/>
      <c r="D23" s="282"/>
      <c r="E23" s="282"/>
      <c r="F23" s="283"/>
      <c r="G23" s="283"/>
      <c r="H23" s="283"/>
      <c r="I23" s="283"/>
      <c r="J23" s="283"/>
      <c r="K23" s="283"/>
      <c r="L23" s="178" t="s">
        <v>15</v>
      </c>
      <c r="M23" s="283"/>
      <c r="N23" s="283"/>
      <c r="O23" s="283"/>
      <c r="P23" s="283"/>
      <c r="Q23" s="283"/>
      <c r="R23" s="243"/>
      <c r="S23" s="233"/>
    </row>
    <row r="24" spans="3:19" ht="12.5">
      <c r="C24" s="248" t="str">
        <f>S112</f>
        <v xml:space="preserve">   Rate Base  (True-Up TCOS, ln 63)</v>
      </c>
      <c r="D24" s="249"/>
      <c r="E24" s="286">
        <f>R112</f>
        <v>480313816.37099826</v>
      </c>
      <c r="F24" s="287"/>
      <c r="G24" s="287"/>
      <c r="H24" s="283"/>
      <c r="I24" s="283"/>
      <c r="J24" s="283"/>
      <c r="K24" s="283"/>
      <c r="L24" s="148" t="s">
        <v>16</v>
      </c>
      <c r="M24" s="283"/>
      <c r="N24" s="283"/>
      <c r="O24" s="283"/>
      <c r="P24" s="287"/>
      <c r="Q24" s="283"/>
      <c r="R24" s="243"/>
      <c r="S24" s="233"/>
    </row>
    <row r="25" spans="3:19" ht="12.5">
      <c r="C25" s="254" t="s">
        <v>17</v>
      </c>
      <c r="D25" s="251"/>
      <c r="E25" s="288">
        <f>F20</f>
        <v>7.4537195514690055E-2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43"/>
      <c r="S25" s="233"/>
    </row>
    <row r="26" spans="3:19" ht="12.5">
      <c r="C26" s="289" t="s">
        <v>18</v>
      </c>
      <c r="D26" s="289"/>
      <c r="E26" s="270">
        <f>E24*E25</f>
        <v>35801244.839252032</v>
      </c>
      <c r="F26" s="283"/>
      <c r="G26" s="283"/>
      <c r="H26" s="283"/>
      <c r="I26" s="283"/>
      <c r="J26" s="271"/>
      <c r="K26" s="271"/>
      <c r="L26" s="271"/>
      <c r="M26" s="271"/>
      <c r="N26" s="271"/>
      <c r="O26" s="271"/>
      <c r="P26" s="283"/>
      <c r="Q26" s="271"/>
      <c r="R26" s="243"/>
      <c r="S26" s="233"/>
    </row>
    <row r="27" spans="3:19" ht="12.5">
      <c r="C27" s="290"/>
      <c r="D27" s="253"/>
      <c r="E27" s="253"/>
      <c r="F27" s="283"/>
      <c r="G27" s="283"/>
      <c r="H27" s="283"/>
      <c r="I27" s="283"/>
      <c r="J27" s="271"/>
      <c r="K27" s="271"/>
      <c r="L27" s="271"/>
      <c r="M27" s="271"/>
      <c r="N27" s="271"/>
      <c r="O27" s="271"/>
      <c r="P27" s="283"/>
      <c r="Q27" s="271"/>
      <c r="R27" s="243"/>
      <c r="S27" s="233"/>
    </row>
    <row r="28" spans="3:19" ht="15.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2"/>
      <c r="J28" s="293"/>
      <c r="K28" s="293"/>
      <c r="L28" s="293"/>
      <c r="M28" s="293"/>
      <c r="N28" s="293"/>
      <c r="O28" s="293"/>
      <c r="P28" s="292"/>
      <c r="Q28" s="293"/>
      <c r="R28" s="243"/>
      <c r="S28" s="233"/>
    </row>
    <row r="29" spans="3:19" ht="12.5">
      <c r="C29" s="248"/>
      <c r="D29" s="253"/>
      <c r="E29" s="253"/>
      <c r="F29" s="283"/>
      <c r="G29" s="283"/>
      <c r="H29" s="283"/>
      <c r="I29" s="283"/>
      <c r="J29" s="271"/>
      <c r="K29" s="271"/>
      <c r="L29" s="271"/>
      <c r="M29" s="271"/>
      <c r="N29" s="271">
        <f>+N17-6729904</f>
        <v>554856.43199268915</v>
      </c>
      <c r="O29" s="271"/>
      <c r="P29" s="283"/>
      <c r="Q29" s="271"/>
      <c r="R29" s="243"/>
      <c r="S29" s="233"/>
    </row>
    <row r="30" spans="3:19" ht="12.5">
      <c r="C30" s="254" t="s">
        <v>19</v>
      </c>
      <c r="D30" s="280"/>
      <c r="E30" s="294">
        <f>E26</f>
        <v>35801244.839252032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43"/>
      <c r="S30" s="233"/>
    </row>
    <row r="31" spans="3:19" ht="12.5">
      <c r="C31" s="248" t="str">
        <f>S113</f>
        <v xml:space="preserve">   Tax Rate  (True-Up TCOS, ln 105)</v>
      </c>
      <c r="D31" s="280"/>
      <c r="E31" s="295">
        <f>R113</f>
        <v>0.25289699999999993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43"/>
      <c r="S31" s="233"/>
    </row>
    <row r="32" spans="3:19" ht="12.5">
      <c r="C32" s="254" t="s">
        <v>20</v>
      </c>
      <c r="D32" s="241"/>
      <c r="E32" s="256">
        <f>IF(F17&gt;0,($E31/(1-$E31))*(1-$F17/$F20),0)</f>
        <v>0.23082075855934917</v>
      </c>
      <c r="F32" s="233"/>
      <c r="G32" s="233"/>
      <c r="H32" s="233"/>
      <c r="I32" s="242"/>
      <c r="J32" s="233"/>
      <c r="K32" s="243"/>
      <c r="L32" s="233"/>
      <c r="M32" s="233"/>
      <c r="N32" s="233"/>
      <c r="O32" s="233"/>
      <c r="P32" s="233"/>
      <c r="Q32" s="243"/>
      <c r="R32" s="243"/>
      <c r="S32" s="339"/>
    </row>
    <row r="33" spans="2:19" ht="12.5">
      <c r="C33" s="290" t="s">
        <v>21</v>
      </c>
      <c r="D33" s="241"/>
      <c r="E33" s="297">
        <f>E30*E32</f>
        <v>8263670.4911651388</v>
      </c>
      <c r="F33" s="233"/>
      <c r="G33" s="233"/>
      <c r="H33" s="233"/>
      <c r="I33" s="242"/>
      <c r="J33" s="233"/>
      <c r="K33" s="243"/>
      <c r="L33" s="233"/>
      <c r="M33" s="233"/>
      <c r="N33" s="233"/>
      <c r="O33" s="233"/>
      <c r="P33" s="233"/>
      <c r="Q33" s="243"/>
      <c r="R33" s="243"/>
      <c r="S33" s="233"/>
    </row>
    <row r="34" spans="2:19" ht="15.5">
      <c r="C34" s="248" t="str">
        <f>+S114</f>
        <v xml:space="preserve">   ITC Adjustment  (True-Up TCOS, ln 102)</v>
      </c>
      <c r="D34" s="298"/>
      <c r="E34" s="299">
        <f>R114</f>
        <v>-541451.51302864379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  <c r="R34" s="243"/>
      <c r="S34" s="233"/>
    </row>
    <row r="35" spans="2:19" ht="15.5">
      <c r="C35" s="306" t="str">
        <f>+S115</f>
        <v xml:space="preserve">   Excess DFIT Adjustment  (TCOS, ln 109)</v>
      </c>
      <c r="D35" s="298"/>
      <c r="E35" s="299">
        <f>R115</f>
        <v>-4199677.1529494589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  <c r="R35" s="243"/>
      <c r="S35" s="233"/>
    </row>
    <row r="36" spans="2:19" ht="15.5">
      <c r="C36" s="306" t="str">
        <f>+S116</f>
        <v xml:space="preserve">   Tax Effect of Permanent and Flow Through Differences (TCOS, ln 110)</v>
      </c>
      <c r="D36" s="298"/>
      <c r="E36" s="299">
        <f>R116</f>
        <v>79136.317214627692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  <c r="R36" s="243"/>
      <c r="S36" s="233"/>
    </row>
    <row r="37" spans="2:19" ht="15.5">
      <c r="C37" s="290" t="s">
        <v>22</v>
      </c>
      <c r="D37" s="298"/>
      <c r="E37" s="299">
        <f>E33+E34+E35+E36</f>
        <v>3601678.1424016636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  <c r="R37" s="243"/>
      <c r="S37" s="233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43"/>
      <c r="S38" s="233"/>
    </row>
    <row r="39" spans="2:19" ht="18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43"/>
      <c r="S39" s="233"/>
    </row>
    <row r="40" spans="2:19" ht="18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4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43"/>
      <c r="S41" s="233"/>
    </row>
    <row r="42" spans="2:19" ht="15.5">
      <c r="C42" s="245" t="s">
        <v>24</v>
      </c>
      <c r="D42" s="298"/>
      <c r="E42" s="298"/>
      <c r="F42" s="305"/>
      <c r="G42" s="305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43"/>
      <c r="S42" s="233"/>
    </row>
    <row r="43" spans="2:19" ht="12.5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43"/>
      <c r="S43" s="233"/>
    </row>
    <row r="44" spans="2:19" ht="12.75" customHeight="1">
      <c r="B44" s="233"/>
      <c r="C44" s="248" t="str">
        <f>S117</f>
        <v xml:space="preserve">   Net Revenue Requirement  (True-Up TCOS, ln 109)</v>
      </c>
      <c r="D44" s="307"/>
      <c r="E44" s="307"/>
      <c r="F44" s="299">
        <f>R117</f>
        <v>86843899.346920505</v>
      </c>
      <c r="G44" s="299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43"/>
      <c r="S44" s="233"/>
    </row>
    <row r="45" spans="2:19" ht="12.5">
      <c r="B45" s="233"/>
      <c r="C45" s="248" t="str">
        <f>S118</f>
        <v xml:space="preserve">   Return  (True-Up TCOS, ln 104)</v>
      </c>
      <c r="D45" s="307"/>
      <c r="E45" s="307"/>
      <c r="F45" s="299">
        <f>R118</f>
        <v>35801244.839252032</v>
      </c>
      <c r="G45" s="308"/>
      <c r="H45" s="309"/>
      <c r="I45" s="309"/>
      <c r="J45" s="309"/>
      <c r="K45" s="309"/>
      <c r="L45" s="309"/>
      <c r="M45" s="309"/>
      <c r="N45" s="309"/>
      <c r="O45" s="309"/>
      <c r="P45" s="299"/>
      <c r="Q45" s="309"/>
      <c r="R45" s="243"/>
      <c r="S45" s="233"/>
    </row>
    <row r="46" spans="2:19" ht="12.5">
      <c r="B46" s="233"/>
      <c r="C46" s="248" t="str">
        <f>S119</f>
        <v xml:space="preserve">   Income Taxes  (True-Up TCOS, ln 103)</v>
      </c>
      <c r="D46" s="307"/>
      <c r="E46" s="307"/>
      <c r="F46" s="299">
        <f>R119</f>
        <v>3601678.1424016636</v>
      </c>
      <c r="G46" s="299"/>
      <c r="H46" s="307"/>
      <c r="I46" s="307"/>
      <c r="J46" s="310"/>
      <c r="K46" s="310"/>
      <c r="L46" s="310"/>
      <c r="M46" s="310"/>
      <c r="N46" s="310"/>
      <c r="O46" s="310"/>
      <c r="P46" s="307"/>
      <c r="Q46" s="310"/>
      <c r="R46" s="243"/>
      <c r="S46" s="233"/>
    </row>
    <row r="47" spans="2:19" ht="12.5">
      <c r="B47" s="233"/>
      <c r="C47" s="248" t="str">
        <f>S120</f>
        <v xml:space="preserve">  Gross Margin Taxes  (True-Up TCOS, ln 108)</v>
      </c>
      <c r="D47" s="307"/>
      <c r="E47" s="307"/>
      <c r="F47" s="311">
        <f>R120</f>
        <v>0</v>
      </c>
      <c r="G47" s="299"/>
      <c r="H47" s="307"/>
      <c r="I47" s="307"/>
      <c r="J47" s="310"/>
      <c r="K47" s="310"/>
      <c r="L47" s="310"/>
      <c r="M47" s="310"/>
      <c r="N47" s="310"/>
      <c r="O47" s="310"/>
      <c r="P47" s="307"/>
      <c r="Q47" s="310"/>
      <c r="R47" s="243"/>
      <c r="S47" s="233"/>
    </row>
    <row r="48" spans="2:19" ht="12.5">
      <c r="B48" s="233"/>
      <c r="C48" s="312" t="s">
        <v>25</v>
      </c>
      <c r="D48" s="307"/>
      <c r="E48" s="307"/>
      <c r="F48" s="308">
        <f>F44-F45-F46-F47</f>
        <v>47440976.365266807</v>
      </c>
      <c r="G48" s="308"/>
      <c r="H48" s="313"/>
      <c r="I48" s="307"/>
      <c r="J48" s="313"/>
      <c r="K48" s="313"/>
      <c r="L48" s="313"/>
      <c r="M48" s="313"/>
      <c r="N48" s="313"/>
      <c r="O48" s="313"/>
      <c r="P48" s="313"/>
      <c r="Q48" s="313"/>
      <c r="R48" s="243"/>
      <c r="S48" s="233"/>
    </row>
    <row r="49" spans="2:19" ht="12.5">
      <c r="B49" s="233"/>
      <c r="C49" s="306"/>
      <c r="D49" s="307"/>
      <c r="E49" s="307"/>
      <c r="F49" s="299"/>
      <c r="G49" s="299"/>
      <c r="H49" s="314"/>
      <c r="I49" s="315"/>
      <c r="J49" s="315"/>
      <c r="K49" s="315"/>
      <c r="L49" s="315"/>
      <c r="M49" s="315"/>
      <c r="N49" s="315"/>
      <c r="O49" s="315"/>
      <c r="P49" s="315"/>
      <c r="Q49" s="315"/>
      <c r="R49" s="243"/>
      <c r="S49" s="233"/>
    </row>
    <row r="50" spans="2:19" ht="15.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299"/>
      <c r="H50" s="314"/>
      <c r="I50" s="315"/>
      <c r="J50" s="315"/>
      <c r="K50" s="315"/>
      <c r="L50" s="315"/>
      <c r="M50" s="315"/>
      <c r="N50" s="315"/>
      <c r="O50" s="315"/>
      <c r="P50" s="315"/>
      <c r="Q50" s="315"/>
      <c r="R50" s="243"/>
      <c r="S50" s="233"/>
    </row>
    <row r="51" spans="2:19" ht="12.5">
      <c r="B51" s="233"/>
      <c r="C51" s="306"/>
      <c r="D51" s="316"/>
      <c r="E51" s="316"/>
      <c r="F51" s="299"/>
      <c r="G51" s="299"/>
      <c r="H51" s="314"/>
      <c r="I51" s="315"/>
      <c r="J51" s="315"/>
      <c r="K51" s="315"/>
      <c r="L51" s="315"/>
      <c r="M51" s="315"/>
      <c r="N51" s="315"/>
      <c r="O51" s="315"/>
      <c r="P51" s="315"/>
      <c r="Q51" s="315"/>
      <c r="R51" s="243"/>
      <c r="S51" s="233"/>
    </row>
    <row r="52" spans="2:19" ht="13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47440976.365266807</v>
      </c>
      <c r="G52" s="299"/>
      <c r="H52" s="307"/>
      <c r="I52" s="307"/>
      <c r="J52" s="307"/>
      <c r="K52" s="307"/>
      <c r="L52" s="307"/>
      <c r="M52" s="307"/>
      <c r="N52" s="307"/>
      <c r="O52" s="307"/>
      <c r="P52" s="319"/>
      <c r="Q52" s="307"/>
      <c r="R52" s="243"/>
      <c r="S52" s="233"/>
    </row>
    <row r="53" spans="2:19" ht="13">
      <c r="B53" s="233"/>
      <c r="C53" s="254" t="s">
        <v>103</v>
      </c>
      <c r="D53" s="321"/>
      <c r="E53" s="312"/>
      <c r="F53" s="322">
        <f>E26</f>
        <v>35801244.839252032</v>
      </c>
      <c r="G53" s="322"/>
      <c r="H53" s="312"/>
      <c r="I53" s="323"/>
      <c r="J53" s="312"/>
      <c r="K53" s="312"/>
      <c r="L53" s="312"/>
      <c r="M53" s="312"/>
      <c r="N53" s="312"/>
      <c r="O53" s="312"/>
      <c r="P53" s="312"/>
      <c r="Q53" s="312"/>
      <c r="R53" s="243"/>
      <c r="S53" s="233"/>
    </row>
    <row r="54" spans="2:19" ht="12.75" customHeight="1">
      <c r="B54" s="233"/>
      <c r="C54" s="248" t="s">
        <v>26</v>
      </c>
      <c r="D54" s="307"/>
      <c r="E54" s="307"/>
      <c r="F54" s="396">
        <f>E37</f>
        <v>3601678.1424016636</v>
      </c>
      <c r="G54" s="324"/>
      <c r="H54" s="233"/>
      <c r="I54" s="242"/>
      <c r="J54" s="233"/>
      <c r="K54" s="243"/>
      <c r="L54" s="233"/>
      <c r="M54" s="233"/>
      <c r="N54" s="233"/>
      <c r="O54" s="233"/>
      <c r="P54" s="233"/>
      <c r="Q54" s="243"/>
      <c r="R54" s="243"/>
      <c r="S54" s="233"/>
    </row>
    <row r="55" spans="2:19" ht="12.5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86843899.346920505</v>
      </c>
      <c r="G55" s="297"/>
      <c r="H55" s="233"/>
      <c r="I55" s="242"/>
      <c r="J55" s="233"/>
      <c r="K55" s="243"/>
      <c r="L55" s="233"/>
      <c r="M55" s="233"/>
      <c r="N55" s="233"/>
      <c r="O55" s="233"/>
      <c r="P55" s="233"/>
      <c r="Q55" s="243"/>
      <c r="R55" s="243"/>
      <c r="S55" s="233"/>
    </row>
    <row r="56" spans="2:19" ht="12.5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322"/>
      <c r="H56" s="233"/>
      <c r="I56" s="242"/>
      <c r="J56" s="233"/>
      <c r="K56" s="243"/>
      <c r="L56" s="233"/>
      <c r="M56" s="233"/>
      <c r="N56" s="233"/>
      <c r="O56" s="233"/>
      <c r="P56" s="233"/>
      <c r="Q56" s="243"/>
      <c r="R56" s="243"/>
      <c r="S56" s="233"/>
    </row>
    <row r="57" spans="2:19" ht="12.5">
      <c r="B57" s="233"/>
      <c r="C57" s="312" t="s">
        <v>27</v>
      </c>
      <c r="D57" s="241"/>
      <c r="E57" s="233"/>
      <c r="F57" s="328">
        <f>+F55+F56</f>
        <v>86843899.346920505</v>
      </c>
      <c r="G57" s="328"/>
      <c r="H57" s="233"/>
      <c r="I57" s="242"/>
      <c r="J57" s="233"/>
      <c r="K57" s="243"/>
      <c r="L57" s="233"/>
      <c r="M57" s="233"/>
      <c r="N57" s="233"/>
      <c r="O57" s="233"/>
      <c r="P57" s="233"/>
      <c r="Q57" s="243"/>
      <c r="R57" s="243"/>
      <c r="S57" s="233"/>
    </row>
    <row r="58" spans="2:19" ht="12.5">
      <c r="B58" s="233"/>
      <c r="C58" s="248" t="str">
        <f>S121</f>
        <v xml:space="preserve">   Less: Depreciation  (True-Up TCOS, ln 82)</v>
      </c>
      <c r="D58" s="241"/>
      <c r="E58" s="233"/>
      <c r="F58" s="329">
        <f>R121</f>
        <v>20280971.384458408</v>
      </c>
      <c r="G58" s="329"/>
      <c r="H58" s="233"/>
      <c r="I58" s="242"/>
      <c r="J58" s="233"/>
      <c r="K58" s="243"/>
      <c r="L58" s="233"/>
      <c r="M58" s="233"/>
      <c r="N58" s="233"/>
      <c r="O58" s="233"/>
      <c r="P58" s="233"/>
      <c r="Q58" s="243"/>
      <c r="R58" s="243"/>
      <c r="S58" s="233"/>
    </row>
    <row r="59" spans="2:19" ht="12.5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66562927.962462097</v>
      </c>
      <c r="G59" s="297"/>
      <c r="H59" s="233"/>
      <c r="I59" s="242"/>
      <c r="J59" s="233"/>
      <c r="K59" s="243"/>
      <c r="L59" s="233"/>
      <c r="M59" s="233"/>
      <c r="N59" s="233"/>
      <c r="O59" s="233"/>
      <c r="P59" s="233"/>
      <c r="Q59" s="243"/>
      <c r="R59" s="243"/>
      <c r="S59" s="233"/>
    </row>
    <row r="60" spans="2:19" ht="12.5">
      <c r="B60" s="233"/>
      <c r="C60" s="233"/>
      <c r="D60" s="241"/>
      <c r="E60" s="233"/>
      <c r="F60" s="233"/>
      <c r="G60" s="233"/>
      <c r="H60" s="233"/>
      <c r="I60" s="242"/>
      <c r="J60" s="233"/>
      <c r="K60" s="243"/>
      <c r="L60" s="233"/>
      <c r="M60" s="233"/>
      <c r="N60" s="233"/>
      <c r="O60" s="233"/>
      <c r="P60" s="233"/>
      <c r="Q60" s="243"/>
      <c r="R60" s="243"/>
      <c r="S60" s="233"/>
    </row>
    <row r="61" spans="2:19" ht="15.5">
      <c r="B61" s="233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3"/>
      <c r="H61" s="330"/>
      <c r="I61" s="242"/>
      <c r="J61" s="233"/>
      <c r="K61" s="243"/>
      <c r="L61" s="233"/>
      <c r="M61" s="233"/>
      <c r="N61" s="233"/>
      <c r="O61" s="233"/>
      <c r="P61" s="233"/>
      <c r="Q61" s="243"/>
      <c r="R61" s="243"/>
      <c r="S61" s="233"/>
    </row>
    <row r="62" spans="2:19" ht="12.5">
      <c r="B62" s="233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86843899.346920505</v>
      </c>
      <c r="G62" s="333"/>
      <c r="H62" s="330"/>
      <c r="I62" s="242"/>
      <c r="J62" s="233"/>
      <c r="K62" s="243"/>
      <c r="L62" s="233"/>
      <c r="M62" s="233"/>
      <c r="N62" s="233"/>
      <c r="O62" s="233"/>
      <c r="P62" s="233"/>
      <c r="Q62" s="243"/>
      <c r="R62" s="243"/>
      <c r="S62" s="233"/>
    </row>
    <row r="63" spans="2:19" ht="12.5">
      <c r="B63" s="233"/>
      <c r="C63" s="325" t="s">
        <v>28</v>
      </c>
      <c r="D63" s="332"/>
      <c r="E63" s="332"/>
      <c r="F63" s="333"/>
      <c r="G63" s="333"/>
      <c r="H63" s="330"/>
      <c r="I63" s="242"/>
      <c r="J63" s="233"/>
      <c r="K63" s="243"/>
      <c r="L63" s="233"/>
      <c r="M63" s="233"/>
      <c r="N63" s="233"/>
      <c r="O63" s="233"/>
      <c r="P63" s="233"/>
      <c r="Q63" s="243"/>
      <c r="R63" s="243"/>
      <c r="S63" s="233"/>
    </row>
    <row r="64" spans="2:19" ht="12.5">
      <c r="B64" s="233"/>
      <c r="C64" s="312" t="str">
        <f>S122</f>
        <v xml:space="preserve">       Apportionment Factor to Texas (Worksheet K, ln 12)</v>
      </c>
      <c r="D64" s="296"/>
      <c r="E64" s="330"/>
      <c r="F64" s="335">
        <f>R122</f>
        <v>0</v>
      </c>
      <c r="G64" s="397"/>
      <c r="H64" s="330"/>
      <c r="I64" s="242"/>
      <c r="J64" s="233"/>
      <c r="K64" s="243"/>
      <c r="L64" s="233"/>
      <c r="M64" s="233"/>
      <c r="N64" s="233"/>
      <c r="O64" s="233"/>
      <c r="P64" s="233"/>
      <c r="Q64" s="243"/>
      <c r="R64" s="243"/>
      <c r="S64" s="233"/>
    </row>
    <row r="65" spans="2:19" ht="12.5">
      <c r="B65" s="233"/>
      <c r="C65" s="312" t="s">
        <v>29</v>
      </c>
      <c r="D65" s="296"/>
      <c r="E65" s="330"/>
      <c r="F65" s="333">
        <f>+F64*F62</f>
        <v>0</v>
      </c>
      <c r="G65" s="333"/>
      <c r="H65" s="330"/>
      <c r="I65" s="242"/>
      <c r="J65" s="233"/>
      <c r="K65" s="243"/>
      <c r="L65" s="233"/>
      <c r="M65" s="233"/>
      <c r="N65" s="233"/>
      <c r="O65" s="233"/>
      <c r="P65" s="233"/>
      <c r="Q65" s="243"/>
      <c r="R65" s="243"/>
      <c r="S65" s="233"/>
    </row>
    <row r="66" spans="2:19" ht="12.5">
      <c r="B66" s="233"/>
      <c r="C66" s="312" t="str">
        <f>+PSO.WS.F.BPU.ATRR.Projected!C66</f>
        <v xml:space="preserve">       Taxable Percentage of Revenue (22%)</v>
      </c>
      <c r="D66" s="296"/>
      <c r="E66" s="330"/>
      <c r="F66" s="336">
        <f>+PSO.WS.F.BPU.ATRR.Projected!F66</f>
        <v>0.22</v>
      </c>
      <c r="G66" s="398"/>
      <c r="H66" s="330"/>
      <c r="I66" s="242"/>
      <c r="J66" s="233"/>
      <c r="K66" s="243"/>
      <c r="L66" s="233"/>
      <c r="M66" s="233"/>
      <c r="N66" s="233"/>
      <c r="O66" s="233"/>
      <c r="P66" s="233"/>
      <c r="Q66" s="243"/>
      <c r="R66" s="243"/>
      <c r="S66" s="233"/>
    </row>
    <row r="67" spans="2:19" ht="12.5">
      <c r="B67" s="233"/>
      <c r="C67" s="312" t="s">
        <v>30</v>
      </c>
      <c r="D67" s="296"/>
      <c r="E67" s="330"/>
      <c r="F67" s="333">
        <f>+F65*F66</f>
        <v>0</v>
      </c>
      <c r="G67" s="333"/>
      <c r="H67" s="330"/>
      <c r="I67" s="242"/>
      <c r="J67" s="233"/>
      <c r="K67" s="243"/>
      <c r="L67" s="233"/>
      <c r="M67" s="233"/>
      <c r="N67" s="233"/>
      <c r="O67" s="233"/>
      <c r="P67" s="233"/>
      <c r="Q67" s="243"/>
      <c r="R67" s="243"/>
      <c r="S67" s="233"/>
    </row>
    <row r="68" spans="2:19" ht="12.5">
      <c r="B68" s="233"/>
      <c r="C68" s="312" t="s">
        <v>31</v>
      </c>
      <c r="D68" s="296"/>
      <c r="E68" s="330"/>
      <c r="F68" s="336">
        <v>0.01</v>
      </c>
      <c r="G68" s="398"/>
      <c r="H68" s="330"/>
      <c r="I68" s="242"/>
      <c r="J68" s="233"/>
      <c r="K68" s="243"/>
      <c r="L68" s="233"/>
      <c r="M68" s="233"/>
      <c r="N68" s="233"/>
      <c r="O68" s="233"/>
      <c r="P68" s="233"/>
      <c r="Q68" s="243"/>
      <c r="R68" s="243"/>
      <c r="S68" s="233"/>
    </row>
    <row r="69" spans="2:19" ht="12.5">
      <c r="B69" s="233"/>
      <c r="C69" s="312" t="s">
        <v>32</v>
      </c>
      <c r="D69" s="296"/>
      <c r="E69" s="330"/>
      <c r="F69" s="333">
        <f>+F67*F68</f>
        <v>0</v>
      </c>
      <c r="G69" s="333"/>
      <c r="H69" s="330"/>
      <c r="I69" s="242"/>
      <c r="J69" s="233"/>
      <c r="K69" s="243"/>
      <c r="L69" s="233"/>
      <c r="M69" s="233"/>
      <c r="N69" s="233"/>
      <c r="O69" s="233"/>
      <c r="P69" s="233"/>
      <c r="Q69" s="243"/>
      <c r="R69" s="243"/>
      <c r="S69" s="233"/>
    </row>
    <row r="70" spans="2:19" ht="12.5">
      <c r="B70" s="233"/>
      <c r="C70" s="312" t="s">
        <v>33</v>
      </c>
      <c r="D70" s="296"/>
      <c r="E70" s="330"/>
      <c r="F70" s="337">
        <f>+ROUND((F69*F66*F64)/(1-F68)*F68,0)</f>
        <v>0</v>
      </c>
      <c r="G70" s="399"/>
      <c r="H70" s="330"/>
      <c r="I70" s="242"/>
      <c r="J70" s="233"/>
      <c r="K70" s="243"/>
      <c r="L70" s="233"/>
      <c r="M70" s="233"/>
      <c r="N70" s="233"/>
      <c r="O70" s="233"/>
      <c r="P70" s="233"/>
      <c r="Q70" s="243"/>
      <c r="R70" s="243"/>
      <c r="S70" s="233"/>
    </row>
    <row r="71" spans="2:19" ht="12.5">
      <c r="B71" s="233"/>
      <c r="C71" s="312" t="s">
        <v>34</v>
      </c>
      <c r="D71" s="296"/>
      <c r="E71" s="330"/>
      <c r="F71" s="333">
        <f>+F69+F70</f>
        <v>0</v>
      </c>
      <c r="G71" s="333"/>
      <c r="H71" s="330"/>
      <c r="I71" s="242"/>
      <c r="J71" s="233"/>
      <c r="K71" s="243"/>
      <c r="L71" s="233"/>
      <c r="M71" s="233"/>
      <c r="N71" s="233"/>
      <c r="O71" s="233"/>
      <c r="P71" s="233"/>
      <c r="Q71" s="243"/>
      <c r="R71" s="243"/>
      <c r="S71" s="233"/>
    </row>
    <row r="72" spans="2:19" ht="12.5">
      <c r="B72" s="233"/>
      <c r="C72" s="233"/>
      <c r="D72" s="241"/>
      <c r="E72" s="233"/>
      <c r="F72" s="233"/>
      <c r="G72" s="233"/>
      <c r="H72" s="233"/>
      <c r="I72" s="242"/>
      <c r="J72" s="233"/>
      <c r="K72" s="243"/>
      <c r="L72" s="233"/>
      <c r="M72" s="233"/>
      <c r="N72" s="233"/>
      <c r="O72" s="233"/>
      <c r="P72" s="233"/>
      <c r="Q72" s="243"/>
      <c r="R72" s="243"/>
      <c r="S72" s="233"/>
    </row>
    <row r="73" spans="2:19" ht="15.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33"/>
      <c r="I73" s="217"/>
      <c r="J73" s="233"/>
      <c r="K73" s="243"/>
      <c r="L73" s="233"/>
      <c r="M73" s="233"/>
      <c r="N73" s="233"/>
      <c r="O73" s="233"/>
      <c r="P73" s="233"/>
      <c r="Q73" s="243"/>
      <c r="R73" s="243"/>
      <c r="S73" s="233"/>
    </row>
    <row r="74" spans="2:19" ht="12.5">
      <c r="B74" s="233"/>
      <c r="C74" s="233"/>
      <c r="D74" s="241"/>
      <c r="E74" s="233"/>
      <c r="F74" s="233"/>
      <c r="G74" s="233"/>
      <c r="H74" s="233"/>
      <c r="I74" s="242"/>
      <c r="J74" s="233"/>
      <c r="K74" s="243"/>
      <c r="L74" s="233"/>
      <c r="M74" s="233"/>
      <c r="N74" s="233"/>
      <c r="O74" s="233"/>
      <c r="P74" s="233"/>
      <c r="Q74" s="243"/>
      <c r="R74" s="243"/>
      <c r="S74" s="233"/>
    </row>
    <row r="75" spans="2:19" ht="12.5">
      <c r="B75" s="233"/>
      <c r="C75" s="306" t="str">
        <f>S123</f>
        <v xml:space="preserve">   Net Transmission Plant  (True-Up TCOS, ln 39)</v>
      </c>
      <c r="D75" s="241"/>
      <c r="E75" s="233"/>
      <c r="F75" s="297">
        <f>R123</f>
        <v>645527388.39246774</v>
      </c>
      <c r="G75" s="297"/>
      <c r="I75" s="217"/>
      <c r="J75" s="233"/>
      <c r="K75" s="243"/>
      <c r="L75" s="233"/>
      <c r="M75" s="233"/>
      <c r="N75" s="233"/>
      <c r="O75" s="233"/>
      <c r="P75" s="233"/>
      <c r="Q75" s="243"/>
      <c r="R75" s="243"/>
      <c r="S75" s="233"/>
    </row>
    <row r="76" spans="2:19" ht="14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400">
        <f>+F57</f>
        <v>86843899.346920505</v>
      </c>
      <c r="G76" s="400"/>
      <c r="I76" s="217"/>
      <c r="J76" s="233"/>
      <c r="K76" s="243"/>
      <c r="L76" s="233"/>
      <c r="M76" s="233"/>
      <c r="N76" s="233"/>
      <c r="O76" s="233"/>
      <c r="P76" s="233"/>
      <c r="Q76" s="243"/>
      <c r="R76" s="243"/>
      <c r="S76" s="233"/>
    </row>
    <row r="77" spans="2:19" ht="12.5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0.13453170370227754</v>
      </c>
      <c r="G77" s="339"/>
      <c r="I77" s="217"/>
      <c r="J77" s="233"/>
      <c r="K77" s="243"/>
      <c r="L77" s="233"/>
      <c r="M77" s="233"/>
      <c r="N77" s="233"/>
      <c r="O77" s="233"/>
      <c r="P77" s="233"/>
      <c r="Q77" s="243"/>
      <c r="R77" s="243"/>
      <c r="S77" s="233"/>
    </row>
    <row r="78" spans="2:19" ht="12.5">
      <c r="B78" s="233"/>
      <c r="D78" s="241"/>
      <c r="E78" s="233"/>
      <c r="F78" s="330"/>
      <c r="G78" s="330"/>
      <c r="H78" s="401"/>
      <c r="I78" s="217"/>
      <c r="J78" s="233"/>
      <c r="K78" s="243"/>
      <c r="L78" s="233"/>
      <c r="M78" s="233"/>
      <c r="N78" s="233"/>
      <c r="O78" s="233"/>
      <c r="P78" s="233"/>
      <c r="Q78" s="243"/>
      <c r="R78" s="243"/>
      <c r="S78" s="233"/>
    </row>
    <row r="79" spans="2:19" ht="12.5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+F59</f>
        <v>66562927.962462097</v>
      </c>
      <c r="G79" s="297"/>
      <c r="I79" s="217"/>
      <c r="J79" s="233"/>
      <c r="K79" s="243"/>
      <c r="L79" s="233"/>
      <c r="M79" s="233"/>
      <c r="N79" s="233"/>
      <c r="O79" s="233"/>
      <c r="P79" s="233"/>
      <c r="Q79" s="243"/>
      <c r="R79" s="243"/>
      <c r="S79" s="233"/>
    </row>
    <row r="80" spans="2:19" ht="12.5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0.10311402608063032</v>
      </c>
      <c r="G80" s="339"/>
      <c r="H80" s="246"/>
      <c r="I80" s="217"/>
      <c r="J80" s="233"/>
      <c r="K80" s="243"/>
      <c r="L80" s="233"/>
      <c r="M80" s="233"/>
      <c r="N80" s="233"/>
      <c r="O80" s="233"/>
      <c r="P80" s="233"/>
      <c r="Q80" s="243"/>
      <c r="R80" s="243"/>
      <c r="S80" s="233"/>
    </row>
    <row r="81" spans="2:19" ht="12.5">
      <c r="B81" s="233"/>
      <c r="C81" s="306" t="str">
        <f>S124</f>
        <v xml:space="preserve">   FCR less Depreciation  (True-Up TCOS, ln 12)</v>
      </c>
      <c r="D81" s="241"/>
      <c r="E81" s="233"/>
      <c r="F81" s="340">
        <f>R124</f>
        <v>0.10311402608063032</v>
      </c>
      <c r="G81" s="340"/>
      <c r="H81" s="402"/>
      <c r="I81" s="217"/>
      <c r="J81" s="233"/>
      <c r="K81" s="243"/>
      <c r="L81" s="233"/>
      <c r="M81" s="233"/>
      <c r="N81" s="233"/>
      <c r="O81" s="233"/>
      <c r="P81" s="233"/>
      <c r="Q81" s="243"/>
      <c r="R81" s="243"/>
      <c r="S81" s="233"/>
    </row>
    <row r="82" spans="2:19" ht="12.5">
      <c r="B82" s="233"/>
      <c r="C82" s="312" t="str">
        <f>"   Incremental FCR with "&amp;F13&amp;" Basis Point ROE increase, less Depreciation"</f>
        <v xml:space="preserve">   Incremental FCR with 0 Basis Point ROE increase, less Depreciation</v>
      </c>
      <c r="D82" s="241"/>
      <c r="E82" s="233"/>
      <c r="F82" s="339">
        <f>F80-F81</f>
        <v>0</v>
      </c>
      <c r="G82" s="339"/>
      <c r="I82" s="217"/>
      <c r="J82" s="233"/>
      <c r="K82" s="243"/>
      <c r="L82" s="233"/>
      <c r="M82" s="233"/>
      <c r="N82" s="233"/>
      <c r="O82" s="233"/>
      <c r="P82" s="233"/>
      <c r="Q82" s="243"/>
      <c r="R82" s="243"/>
      <c r="S82" s="233"/>
    </row>
    <row r="83" spans="2:19" ht="12.5">
      <c r="B83" s="233"/>
      <c r="C83" s="312"/>
      <c r="D83" s="241"/>
      <c r="E83" s="233"/>
      <c r="F83" s="339"/>
      <c r="G83" s="339"/>
      <c r="H83" s="233"/>
      <c r="I83" s="242"/>
      <c r="J83" s="233"/>
      <c r="K83" s="243"/>
      <c r="L83" s="233"/>
      <c r="M83" s="233"/>
      <c r="N83" s="233"/>
      <c r="O83" s="233"/>
      <c r="P83" s="233"/>
      <c r="Q83" s="243"/>
      <c r="R83" s="243"/>
      <c r="S83" s="233"/>
    </row>
    <row r="84" spans="2:19" ht="18">
      <c r="B84" s="303" t="s">
        <v>35</v>
      </c>
      <c r="C84" s="304" t="s">
        <v>36</v>
      </c>
      <c r="D84" s="241"/>
      <c r="E84" s="233"/>
      <c r="F84" s="339"/>
      <c r="G84" s="339"/>
      <c r="H84" s="233"/>
      <c r="I84" s="242"/>
      <c r="J84" s="233"/>
      <c r="K84" s="243"/>
      <c r="L84" s="233"/>
      <c r="M84" s="233"/>
      <c r="N84" s="233"/>
      <c r="O84" s="233"/>
      <c r="P84" s="233"/>
      <c r="Q84" s="243"/>
      <c r="R84" s="243"/>
      <c r="S84" s="233"/>
    </row>
    <row r="85" spans="2:19" ht="12.75" customHeight="1">
      <c r="B85" s="303"/>
      <c r="C85" s="304"/>
      <c r="D85" s="241"/>
      <c r="E85" s="233"/>
      <c r="F85" s="339"/>
      <c r="G85" s="339"/>
      <c r="H85" s="233"/>
      <c r="I85" s="242"/>
      <c r="J85" s="233"/>
      <c r="K85" s="243"/>
      <c r="L85" s="233"/>
      <c r="M85" s="233"/>
      <c r="N85" s="233"/>
      <c r="O85" s="233"/>
      <c r="P85" s="233"/>
      <c r="Q85" s="243"/>
      <c r="R85" s="243"/>
      <c r="S85" s="233"/>
    </row>
    <row r="86" spans="2:19" ht="12.75" customHeight="1">
      <c r="B86" s="303"/>
      <c r="C86" s="312" t="s">
        <v>37</v>
      </c>
      <c r="D86" s="241"/>
      <c r="F86" s="334">
        <f>R125</f>
        <v>892407778</v>
      </c>
      <c r="G86" s="233" t="s">
        <v>283</v>
      </c>
      <c r="I86" s="242"/>
      <c r="J86" s="233"/>
      <c r="K86" s="243"/>
      <c r="L86" s="233"/>
      <c r="M86" s="233"/>
      <c r="N86" s="233"/>
      <c r="O86" s="233"/>
      <c r="P86" s="233"/>
      <c r="Q86" s="243"/>
      <c r="R86" s="243"/>
      <c r="S86" s="233"/>
    </row>
    <row r="87" spans="2:19" ht="12.75" customHeight="1">
      <c r="B87" s="303"/>
      <c r="C87" s="312" t="s">
        <v>38</v>
      </c>
      <c r="D87" s="241"/>
      <c r="F87" s="341">
        <f>R126</f>
        <v>948661097</v>
      </c>
      <c r="G87" s="233" t="s">
        <v>283</v>
      </c>
      <c r="I87" s="242"/>
      <c r="J87" s="233"/>
      <c r="K87" s="243"/>
      <c r="L87" s="233"/>
      <c r="M87" s="233"/>
      <c r="N87" s="233"/>
      <c r="O87" s="233"/>
      <c r="P87" s="233"/>
      <c r="Q87" s="243"/>
      <c r="R87" s="243"/>
      <c r="S87" s="233"/>
    </row>
    <row r="88" spans="2:19" ht="12.75" customHeight="1">
      <c r="B88" s="303"/>
      <c r="C88" s="312"/>
      <c r="D88" s="241"/>
      <c r="F88" s="242">
        <f>+F87+F86</f>
        <v>1841068875</v>
      </c>
      <c r="G88" s="242"/>
      <c r="H88" s="233"/>
      <c r="I88" s="242"/>
      <c r="J88" s="233"/>
      <c r="K88" s="243"/>
      <c r="L88" s="233"/>
      <c r="M88" s="233"/>
      <c r="N88" s="233"/>
      <c r="O88" s="233"/>
      <c r="P88" s="233"/>
      <c r="Q88" s="243"/>
      <c r="R88" s="243"/>
      <c r="S88" s="233"/>
    </row>
    <row r="89" spans="2:19" ht="12.5">
      <c r="B89" s="233"/>
      <c r="C89" s="312" t="str">
        <f>+S127</f>
        <v>Transmission Plant Average Balance for 2018</v>
      </c>
      <c r="D89" s="296"/>
      <c r="E89" s="155"/>
      <c r="F89" s="323">
        <f>+F88/2</f>
        <v>920534437.5</v>
      </c>
      <c r="G89" s="323"/>
      <c r="I89" s="242"/>
      <c r="J89" s="233"/>
      <c r="K89" s="243"/>
      <c r="L89" s="233"/>
      <c r="M89" s="233"/>
      <c r="N89" s="233"/>
      <c r="O89" s="233"/>
      <c r="P89" s="233"/>
      <c r="Q89" s="243"/>
      <c r="R89" s="243"/>
      <c r="S89" s="233"/>
    </row>
    <row r="90" spans="2:19" ht="12.5">
      <c r="B90" s="233"/>
      <c r="C90" s="248" t="str">
        <f>S128</f>
        <v>Annual Depreciation Expense  (True-Up TCOS, ln 82)</v>
      </c>
      <c r="D90" s="296"/>
      <c r="E90" s="330"/>
      <c r="F90" s="323">
        <f>R128</f>
        <v>22197738</v>
      </c>
      <c r="G90" s="323"/>
      <c r="I90" s="242"/>
      <c r="J90" s="233"/>
      <c r="K90" s="243"/>
      <c r="L90" s="233"/>
      <c r="M90" s="233"/>
      <c r="N90" s="233"/>
      <c r="O90" s="233"/>
      <c r="P90" s="233"/>
      <c r="Q90" s="243"/>
      <c r="R90" s="243"/>
      <c r="S90" s="233"/>
    </row>
    <row r="91" spans="2:19" ht="12.5">
      <c r="B91" s="233"/>
      <c r="C91" s="312" t="s">
        <v>39</v>
      </c>
      <c r="D91" s="241"/>
      <c r="E91" s="233"/>
      <c r="F91" s="339">
        <f>IF(F89=0,0,F90/F89)</f>
        <v>2.4113968033922684E-2</v>
      </c>
      <c r="G91" s="339"/>
      <c r="H91" s="233"/>
      <c r="I91" s="343"/>
      <c r="J91" s="233"/>
      <c r="K91" s="243"/>
      <c r="L91" s="233"/>
      <c r="M91" s="233"/>
      <c r="N91" s="233"/>
      <c r="O91" s="233"/>
      <c r="P91" s="233"/>
      <c r="Q91" s="243"/>
      <c r="R91" s="243"/>
      <c r="S91" s="233"/>
    </row>
    <row r="92" spans="2:19" ht="12.5">
      <c r="B92" s="233"/>
      <c r="C92" s="312" t="s">
        <v>40</v>
      </c>
      <c r="D92" s="241"/>
      <c r="E92" s="233"/>
      <c r="F92" s="344">
        <f>IF(F91=0,0,1/F91)</f>
        <v>41.469740633032075</v>
      </c>
      <c r="G92" s="344"/>
      <c r="H92" s="233"/>
      <c r="I92" s="242"/>
      <c r="J92" s="233"/>
      <c r="K92" s="243"/>
      <c r="L92" s="233"/>
      <c r="M92" s="233"/>
      <c r="N92" s="233"/>
      <c r="O92" s="233"/>
      <c r="P92" s="233"/>
      <c r="Q92" s="243"/>
      <c r="R92" s="243"/>
      <c r="S92" s="233"/>
    </row>
    <row r="93" spans="2:19" ht="12.5">
      <c r="B93" s="233"/>
      <c r="C93" s="312" t="s">
        <v>41</v>
      </c>
      <c r="D93" s="241"/>
      <c r="E93" s="233"/>
      <c r="F93" s="345">
        <f>ROUND(F92,0)</f>
        <v>41</v>
      </c>
      <c r="G93" s="345"/>
      <c r="H93" s="233"/>
      <c r="I93" s="242"/>
      <c r="J93" s="233"/>
      <c r="K93" s="243"/>
      <c r="L93" s="233"/>
      <c r="M93" s="233"/>
      <c r="N93" s="233"/>
      <c r="O93" s="233"/>
      <c r="P93" s="233"/>
      <c r="Q93" s="243"/>
      <c r="R93" s="243"/>
      <c r="S93" s="233"/>
    </row>
    <row r="94" spans="2:19" ht="12.5">
      <c r="B94" s="233"/>
      <c r="C94" s="312"/>
      <c r="D94" s="241"/>
      <c r="E94" s="233"/>
      <c r="F94" s="345"/>
      <c r="G94" s="345"/>
      <c r="H94" s="233"/>
      <c r="I94" s="242"/>
      <c r="J94" s="233"/>
      <c r="K94" s="243"/>
      <c r="L94" s="233"/>
      <c r="M94" s="233"/>
      <c r="N94" s="233"/>
      <c r="O94" s="233"/>
      <c r="P94" s="233"/>
      <c r="Q94" s="243"/>
      <c r="R94" s="243"/>
      <c r="S94" s="233"/>
    </row>
    <row r="95" spans="2:19" ht="12.5">
      <c r="B95" s="233"/>
      <c r="C95" s="312"/>
      <c r="D95" s="241"/>
      <c r="E95" s="233"/>
      <c r="F95" s="345"/>
      <c r="G95" s="345"/>
      <c r="H95" s="233"/>
      <c r="I95" s="242"/>
      <c r="J95" s="233"/>
      <c r="K95" s="243"/>
      <c r="L95" s="233"/>
      <c r="M95" s="233"/>
      <c r="N95" s="233"/>
      <c r="O95" s="233"/>
      <c r="P95" s="233"/>
      <c r="Q95" s="243"/>
      <c r="R95" s="243"/>
      <c r="S95" s="233"/>
    </row>
    <row r="96" spans="2:19" ht="12.5">
      <c r="B96" s="233"/>
      <c r="C96" s="312"/>
      <c r="D96" s="241"/>
      <c r="E96" s="233"/>
      <c r="F96" s="345"/>
      <c r="G96" s="345"/>
      <c r="H96" s="233"/>
      <c r="I96" s="242"/>
      <c r="J96" s="233"/>
      <c r="K96" s="243"/>
      <c r="L96" s="233"/>
      <c r="M96" s="233"/>
      <c r="N96" s="233"/>
      <c r="O96" s="233"/>
      <c r="P96" s="233"/>
      <c r="Q96" s="243"/>
      <c r="R96" s="243"/>
      <c r="S96" s="233"/>
    </row>
    <row r="97" spans="3:19" ht="13">
      <c r="C97" s="233"/>
      <c r="D97" s="241"/>
      <c r="E97" s="233"/>
      <c r="F97" s="233"/>
      <c r="G97" s="233"/>
      <c r="H97" s="233"/>
      <c r="I97" s="242"/>
      <c r="J97" s="233"/>
      <c r="K97" s="243"/>
      <c r="L97" s="233"/>
      <c r="M97" s="233"/>
      <c r="N97" s="233"/>
      <c r="O97" s="233"/>
      <c r="P97" s="233"/>
      <c r="Q97" s="243"/>
      <c r="R97" s="350" t="s">
        <v>126</v>
      </c>
      <c r="S97" s="234" t="s">
        <v>132</v>
      </c>
    </row>
    <row r="98" spans="3:19" ht="12.5">
      <c r="C98" s="233"/>
      <c r="D98" s="241"/>
      <c r="E98" s="233"/>
      <c r="F98" s="233"/>
      <c r="G98" s="233"/>
      <c r="H98" s="233"/>
      <c r="I98" s="242"/>
      <c r="J98" s="233"/>
      <c r="K98" s="243"/>
      <c r="L98" s="233"/>
      <c r="M98" s="233"/>
      <c r="N98" s="233"/>
      <c r="O98" s="233"/>
      <c r="P98" s="233"/>
      <c r="Q98" s="243"/>
    </row>
    <row r="99" spans="3:19" ht="13">
      <c r="C99" s="240" t="s">
        <v>122</v>
      </c>
      <c r="J99" s="195"/>
      <c r="L99" s="240" t="s">
        <v>121</v>
      </c>
      <c r="N99" s="233"/>
      <c r="O99" s="233"/>
      <c r="P99" s="233"/>
      <c r="Q99" s="243"/>
    </row>
    <row r="100" spans="3:19" ht="12.5">
      <c r="C100" s="233"/>
      <c r="D100" s="241"/>
      <c r="E100" s="233"/>
      <c r="F100" s="233"/>
      <c r="G100" s="233"/>
      <c r="H100" s="233"/>
      <c r="I100" s="242"/>
      <c r="J100" s="233"/>
      <c r="K100" s="243"/>
      <c r="L100" s="233"/>
      <c r="M100" s="233"/>
      <c r="N100" s="233"/>
      <c r="O100" s="233"/>
      <c r="P100" s="233"/>
      <c r="Q100" s="243"/>
      <c r="S100" s="234" t="s">
        <v>119</v>
      </c>
    </row>
    <row r="101" spans="3:19" ht="13">
      <c r="C101" s="233"/>
      <c r="D101" s="241"/>
      <c r="E101" s="233"/>
      <c r="F101" s="233"/>
      <c r="G101" s="233"/>
      <c r="H101" s="233"/>
      <c r="I101" s="242"/>
      <c r="J101" s="233"/>
      <c r="K101" s="243"/>
      <c r="L101" s="233"/>
      <c r="M101" s="233"/>
      <c r="N101" s="233"/>
      <c r="O101" s="233"/>
      <c r="P101" s="233"/>
      <c r="Q101" s="243"/>
      <c r="R101" s="350" t="s">
        <v>115</v>
      </c>
      <c r="S101" s="204" t="s">
        <v>135</v>
      </c>
    </row>
    <row r="102" spans="3:19" ht="13.5" thickBot="1">
      <c r="C102" s="233"/>
      <c r="D102" s="241"/>
      <c r="E102" s="233"/>
      <c r="F102" s="233"/>
      <c r="G102" s="233"/>
      <c r="H102" s="233"/>
      <c r="I102" s="242"/>
      <c r="J102" s="233"/>
      <c r="K102" s="243"/>
      <c r="L102" s="233"/>
      <c r="M102" s="233"/>
      <c r="N102" s="233"/>
      <c r="O102" s="233"/>
      <c r="P102" s="233"/>
      <c r="Q102" s="243"/>
      <c r="R102" s="351" t="s">
        <v>227</v>
      </c>
    </row>
    <row r="103" spans="3:19" ht="12.5">
      <c r="C103" s="233"/>
      <c r="D103" s="241"/>
      <c r="E103" s="233"/>
      <c r="F103" s="233"/>
      <c r="G103" s="233"/>
      <c r="H103" s="233"/>
      <c r="I103" s="242"/>
      <c r="J103" s="233"/>
      <c r="K103" s="243"/>
      <c r="L103" s="233"/>
      <c r="M103" s="233"/>
      <c r="N103" s="233"/>
      <c r="O103" s="233"/>
      <c r="P103" s="233"/>
      <c r="Q103" s="243"/>
      <c r="R103" s="403" t="s">
        <v>212</v>
      </c>
      <c r="S103" s="404" t="s">
        <v>143</v>
      </c>
    </row>
    <row r="104" spans="3:19" ht="12.5">
      <c r="C104" s="233"/>
      <c r="D104" s="241"/>
      <c r="E104" s="233"/>
      <c r="F104" s="233"/>
      <c r="G104" s="233"/>
      <c r="H104" s="233"/>
      <c r="I104" s="242"/>
      <c r="J104" s="233"/>
      <c r="K104" s="243"/>
      <c r="L104" s="233"/>
      <c r="M104" s="233"/>
      <c r="N104" s="233"/>
      <c r="O104" s="233"/>
      <c r="P104" s="233"/>
      <c r="Q104" s="243"/>
      <c r="R104" s="405">
        <v>2019</v>
      </c>
      <c r="S104" s="273" t="s">
        <v>94</v>
      </c>
    </row>
    <row r="105" spans="3:19" ht="12.5">
      <c r="C105" s="233"/>
      <c r="D105" s="241"/>
      <c r="E105" s="233"/>
      <c r="F105" s="233"/>
      <c r="G105" s="233"/>
      <c r="H105" s="233"/>
      <c r="I105" s="242"/>
      <c r="J105" s="233"/>
      <c r="K105" s="243"/>
      <c r="L105" s="233"/>
      <c r="M105" s="233"/>
      <c r="N105" s="233"/>
      <c r="O105" s="233"/>
      <c r="P105" s="233"/>
      <c r="Q105" s="243"/>
      <c r="R105" s="406">
        <v>0.105</v>
      </c>
      <c r="S105" s="355" t="s">
        <v>315</v>
      </c>
    </row>
    <row r="106" spans="3:19" ht="12.5">
      <c r="C106" s="233"/>
      <c r="D106" s="241"/>
      <c r="E106" s="233"/>
      <c r="F106" s="233"/>
      <c r="G106" s="233"/>
      <c r="H106" s="233"/>
      <c r="I106" s="242"/>
      <c r="J106" s="233"/>
      <c r="K106" s="243"/>
      <c r="L106" s="233"/>
      <c r="M106" s="233"/>
      <c r="N106" s="233"/>
      <c r="O106" s="233"/>
      <c r="P106" s="233"/>
      <c r="Q106" s="243"/>
      <c r="R106" s="407">
        <v>0</v>
      </c>
      <c r="S106" s="355" t="s">
        <v>1</v>
      </c>
    </row>
    <row r="107" spans="3:19" ht="12.5">
      <c r="C107" s="233"/>
      <c r="D107" s="241"/>
      <c r="E107" s="233"/>
      <c r="F107" s="233"/>
      <c r="G107" s="233"/>
      <c r="H107" s="233"/>
      <c r="I107" s="242"/>
      <c r="J107" s="233"/>
      <c r="K107" s="243"/>
      <c r="L107" s="233"/>
      <c r="M107" s="233"/>
      <c r="N107" s="233"/>
      <c r="O107" s="233"/>
      <c r="P107" s="233"/>
      <c r="Q107" s="243"/>
      <c r="R107" s="406">
        <v>0.51594421374413535</v>
      </c>
      <c r="S107" s="359" t="s">
        <v>109</v>
      </c>
    </row>
    <row r="108" spans="3:19" ht="12.5">
      <c r="C108" s="233"/>
      <c r="D108" s="241"/>
      <c r="E108" s="233"/>
      <c r="F108" s="233"/>
      <c r="G108" s="233"/>
      <c r="H108" s="233"/>
      <c r="I108" s="242"/>
      <c r="J108" s="233"/>
      <c r="K108" s="243"/>
      <c r="L108" s="233"/>
      <c r="M108" s="233"/>
      <c r="N108" s="233"/>
      <c r="O108" s="233"/>
      <c r="P108" s="233"/>
      <c r="Q108" s="243"/>
      <c r="R108" s="408">
        <v>4.5957173907919965E-2</v>
      </c>
      <c r="S108" s="359" t="s">
        <v>110</v>
      </c>
    </row>
    <row r="109" spans="3:19" ht="12.5">
      <c r="C109" s="233"/>
      <c r="D109" s="241"/>
      <c r="E109" s="233"/>
      <c r="F109" s="233"/>
      <c r="G109" s="233"/>
      <c r="H109" s="233"/>
      <c r="I109" s="242"/>
      <c r="J109" s="233"/>
      <c r="K109" s="243"/>
      <c r="L109" s="233"/>
      <c r="M109" s="233"/>
      <c r="N109" s="233"/>
      <c r="O109" s="233"/>
      <c r="P109" s="233"/>
      <c r="Q109" s="243"/>
      <c r="R109" s="406">
        <v>0</v>
      </c>
      <c r="S109" s="359" t="s">
        <v>111</v>
      </c>
    </row>
    <row r="110" spans="3:19" ht="12.5">
      <c r="C110" s="233"/>
      <c r="D110" s="241"/>
      <c r="E110" s="233"/>
      <c r="F110" s="233"/>
      <c r="G110" s="233"/>
      <c r="H110" s="233"/>
      <c r="I110" s="242"/>
      <c r="J110" s="233"/>
      <c r="K110" s="243"/>
      <c r="L110" s="233"/>
      <c r="M110" s="233"/>
      <c r="N110" s="233"/>
      <c r="O110" s="233"/>
      <c r="P110" s="233"/>
      <c r="Q110" s="243"/>
      <c r="R110" s="408">
        <v>0</v>
      </c>
      <c r="S110" s="359" t="s">
        <v>112</v>
      </c>
    </row>
    <row r="111" spans="3:19" ht="12.5">
      <c r="C111" s="233"/>
      <c r="D111" s="241"/>
      <c r="E111" s="233"/>
      <c r="F111" s="233"/>
      <c r="G111" s="233"/>
      <c r="H111" s="233"/>
      <c r="I111" s="242"/>
      <c r="J111" s="233"/>
      <c r="K111" s="243"/>
      <c r="L111" s="233"/>
      <c r="M111" s="233"/>
      <c r="N111" s="233"/>
      <c r="O111" s="233"/>
      <c r="P111" s="233"/>
      <c r="Q111" s="243"/>
      <c r="R111" s="406">
        <v>0.48405578625586471</v>
      </c>
      <c r="S111" s="360" t="s">
        <v>113</v>
      </c>
    </row>
    <row r="112" spans="3:19" ht="12.5">
      <c r="C112" s="233"/>
      <c r="D112" s="241"/>
      <c r="E112" s="233"/>
      <c r="F112" s="233"/>
      <c r="G112" s="233"/>
      <c r="H112" s="233"/>
      <c r="I112" s="242"/>
      <c r="J112" s="233"/>
      <c r="K112" s="243"/>
      <c r="L112" s="233"/>
      <c r="M112" s="233"/>
      <c r="N112" s="233"/>
      <c r="O112" s="233"/>
      <c r="P112" s="233"/>
      <c r="Q112" s="243"/>
      <c r="R112" s="361">
        <v>480313816.37099826</v>
      </c>
      <c r="S112" s="409" t="s">
        <v>232</v>
      </c>
    </row>
    <row r="113" spans="3:19" ht="12.5">
      <c r="C113" s="233"/>
      <c r="D113" s="241"/>
      <c r="E113" s="233"/>
      <c r="F113" s="233"/>
      <c r="G113" s="233"/>
      <c r="H113" s="233"/>
      <c r="I113" s="242"/>
      <c r="J113" s="233"/>
      <c r="K113" s="243"/>
      <c r="L113" s="233"/>
      <c r="M113" s="233"/>
      <c r="N113" s="233"/>
      <c r="O113" s="233"/>
      <c r="P113" s="233"/>
      <c r="Q113" s="243"/>
      <c r="R113" s="363">
        <v>0.25289699999999993</v>
      </c>
      <c r="S113" s="410" t="s">
        <v>316</v>
      </c>
    </row>
    <row r="114" spans="3:19" ht="12.5">
      <c r="C114" s="233"/>
      <c r="D114" s="241"/>
      <c r="E114" s="233"/>
      <c r="F114" s="233"/>
      <c r="G114" s="233"/>
      <c r="H114" s="233"/>
      <c r="I114" s="242"/>
      <c r="J114" s="233"/>
      <c r="K114" s="243"/>
      <c r="L114" s="233"/>
      <c r="M114" s="233"/>
      <c r="N114" s="233"/>
      <c r="O114" s="233"/>
      <c r="P114" s="233"/>
      <c r="Q114" s="243"/>
      <c r="R114" s="361">
        <v>-541451.51302864379</v>
      </c>
      <c r="S114" s="410" t="s">
        <v>317</v>
      </c>
    </row>
    <row r="115" spans="3:19" ht="12.5">
      <c r="C115" s="233"/>
      <c r="D115" s="241"/>
      <c r="E115" s="233"/>
      <c r="F115" s="233"/>
      <c r="G115" s="233"/>
      <c r="H115" s="233"/>
      <c r="I115" s="242"/>
      <c r="J115" s="233"/>
      <c r="K115" s="243"/>
      <c r="L115" s="233"/>
      <c r="M115" s="233"/>
      <c r="N115" s="233"/>
      <c r="O115" s="233"/>
      <c r="P115" s="233"/>
      <c r="Q115" s="243"/>
      <c r="R115" s="361">
        <v>-4199677.1529494589</v>
      </c>
      <c r="S115" s="411" t="s">
        <v>328</v>
      </c>
    </row>
    <row r="116" spans="3:19" ht="12.5">
      <c r="C116" s="233"/>
      <c r="D116" s="241"/>
      <c r="E116" s="233"/>
      <c r="F116" s="233"/>
      <c r="G116" s="233"/>
      <c r="H116" s="233"/>
      <c r="I116" s="242"/>
      <c r="J116" s="233"/>
      <c r="K116" s="243"/>
      <c r="L116" s="233"/>
      <c r="M116" s="233"/>
      <c r="N116" s="233"/>
      <c r="O116" s="233"/>
      <c r="P116" s="233"/>
      <c r="Q116" s="243"/>
      <c r="R116" s="361">
        <v>79136.317214627692</v>
      </c>
      <c r="S116" s="411" t="s">
        <v>329</v>
      </c>
    </row>
    <row r="117" spans="3:19" ht="12.5">
      <c r="C117" s="233"/>
      <c r="D117" s="241"/>
      <c r="E117" s="233"/>
      <c r="F117" s="233"/>
      <c r="G117" s="233"/>
      <c r="H117" s="233"/>
      <c r="I117" s="242"/>
      <c r="J117" s="233"/>
      <c r="K117" s="243"/>
      <c r="L117" s="233"/>
      <c r="M117" s="233"/>
      <c r="N117" s="233"/>
      <c r="O117" s="233"/>
      <c r="P117" s="233"/>
      <c r="Q117" s="243"/>
      <c r="R117" s="361">
        <v>86843899.346920505</v>
      </c>
      <c r="S117" s="410" t="s">
        <v>318</v>
      </c>
    </row>
    <row r="118" spans="3:19" ht="12.5">
      <c r="C118" s="233"/>
      <c r="D118" s="241"/>
      <c r="E118" s="233"/>
      <c r="F118" s="233"/>
      <c r="G118" s="233"/>
      <c r="H118" s="233"/>
      <c r="I118" s="242"/>
      <c r="J118" s="233"/>
      <c r="K118" s="243"/>
      <c r="L118" s="233"/>
      <c r="M118" s="233"/>
      <c r="N118" s="233"/>
      <c r="O118" s="233"/>
      <c r="P118" s="233"/>
      <c r="Q118" s="243"/>
      <c r="R118" s="361">
        <v>35801244.839252032</v>
      </c>
      <c r="S118" s="410" t="s">
        <v>319</v>
      </c>
    </row>
    <row r="119" spans="3:19" ht="12.5">
      <c r="C119" s="233"/>
      <c r="D119" s="241"/>
      <c r="E119" s="233"/>
      <c r="F119" s="233"/>
      <c r="G119" s="233"/>
      <c r="H119" s="233"/>
      <c r="I119" s="242"/>
      <c r="J119" s="233"/>
      <c r="K119" s="243"/>
      <c r="L119" s="233"/>
      <c r="M119" s="233"/>
      <c r="N119" s="233"/>
      <c r="O119" s="233"/>
      <c r="P119" s="233"/>
      <c r="Q119" s="243"/>
      <c r="R119" s="361">
        <v>3601678.1424016636</v>
      </c>
      <c r="S119" s="410" t="s">
        <v>320</v>
      </c>
    </row>
    <row r="120" spans="3:19" ht="12.5">
      <c r="C120" s="233"/>
      <c r="D120" s="241"/>
      <c r="E120" s="233"/>
      <c r="F120" s="233"/>
      <c r="G120" s="233"/>
      <c r="H120" s="233"/>
      <c r="I120" s="242"/>
      <c r="J120" s="233"/>
      <c r="K120" s="243"/>
      <c r="L120" s="233"/>
      <c r="M120" s="233"/>
      <c r="N120" s="233"/>
      <c r="O120" s="233"/>
      <c r="P120" s="233"/>
      <c r="Q120" s="243"/>
      <c r="R120" s="361">
        <v>0</v>
      </c>
      <c r="S120" s="410" t="s">
        <v>321</v>
      </c>
    </row>
    <row r="121" spans="3:19" ht="12.5">
      <c r="C121" s="233"/>
      <c r="D121" s="241"/>
      <c r="E121" s="233"/>
      <c r="F121" s="233"/>
      <c r="G121" s="233"/>
      <c r="H121" s="233"/>
      <c r="I121" s="242"/>
      <c r="J121" s="233"/>
      <c r="K121" s="243"/>
      <c r="L121" s="233"/>
      <c r="M121" s="233"/>
      <c r="N121" s="233"/>
      <c r="O121" s="233"/>
      <c r="P121" s="233"/>
      <c r="Q121" s="243"/>
      <c r="R121" s="361">
        <v>20280971.384458408</v>
      </c>
      <c r="S121" s="410" t="s">
        <v>322</v>
      </c>
    </row>
    <row r="122" spans="3:19" ht="12.5">
      <c r="C122" s="233"/>
      <c r="D122" s="241"/>
      <c r="E122" s="233"/>
      <c r="F122" s="233"/>
      <c r="G122" s="233"/>
      <c r="H122" s="233"/>
      <c r="I122" s="242"/>
      <c r="J122" s="233"/>
      <c r="K122" s="243"/>
      <c r="L122" s="233"/>
      <c r="M122" s="233"/>
      <c r="N122" s="233"/>
      <c r="O122" s="233"/>
      <c r="P122" s="233"/>
      <c r="Q122" s="243"/>
      <c r="R122" s="363">
        <v>0</v>
      </c>
      <c r="S122" s="410" t="s">
        <v>118</v>
      </c>
    </row>
    <row r="123" spans="3:19" ht="12.5">
      <c r="C123" s="233"/>
      <c r="D123" s="241"/>
      <c r="E123" s="233"/>
      <c r="F123" s="233"/>
      <c r="G123" s="233"/>
      <c r="H123" s="233"/>
      <c r="I123" s="242"/>
      <c r="J123" s="233"/>
      <c r="K123" s="243"/>
      <c r="L123" s="233"/>
      <c r="M123" s="233"/>
      <c r="N123" s="233"/>
      <c r="O123" s="233"/>
      <c r="P123" s="233"/>
      <c r="Q123" s="243"/>
      <c r="R123" s="361">
        <v>645527388.39246774</v>
      </c>
      <c r="S123" s="410" t="s">
        <v>233</v>
      </c>
    </row>
    <row r="124" spans="3:19" ht="12.5">
      <c r="C124" s="233"/>
      <c r="D124" s="241"/>
      <c r="E124" s="233"/>
      <c r="F124" s="233"/>
      <c r="G124" s="233"/>
      <c r="H124" s="233"/>
      <c r="I124" s="242"/>
      <c r="J124" s="233"/>
      <c r="K124" s="243"/>
      <c r="L124" s="233"/>
      <c r="M124" s="233"/>
      <c r="N124" s="233"/>
      <c r="O124" s="233"/>
      <c r="P124" s="233"/>
      <c r="Q124" s="243"/>
      <c r="R124" s="363">
        <v>0.10311402608063032</v>
      </c>
      <c r="S124" s="366" t="s">
        <v>234</v>
      </c>
    </row>
    <row r="125" spans="3:19" ht="12.5">
      <c r="C125" s="233"/>
      <c r="D125" s="241"/>
      <c r="E125" s="233"/>
      <c r="F125" s="233"/>
      <c r="G125" s="233"/>
      <c r="H125" s="233"/>
      <c r="I125" s="242"/>
      <c r="J125" s="233"/>
      <c r="K125" s="243"/>
      <c r="L125" s="233"/>
      <c r="M125" s="233"/>
      <c r="N125" s="233"/>
      <c r="O125" s="233"/>
      <c r="P125" s="233"/>
      <c r="Q125" s="243"/>
      <c r="R125" s="412">
        <v>892407778</v>
      </c>
      <c r="S125" s="359" t="s">
        <v>37</v>
      </c>
    </row>
    <row r="126" spans="3:19" ht="12.5">
      <c r="C126" s="233"/>
      <c r="D126" s="241"/>
      <c r="E126" s="233"/>
      <c r="F126" s="233"/>
      <c r="G126" s="233"/>
      <c r="H126" s="233"/>
      <c r="I126" s="242"/>
      <c r="J126" s="233"/>
      <c r="K126" s="243"/>
      <c r="L126" s="233"/>
      <c r="M126" s="233"/>
      <c r="N126" s="233"/>
      <c r="O126" s="233"/>
      <c r="P126" s="233"/>
      <c r="Q126" s="243"/>
      <c r="R126" s="413">
        <v>948661097</v>
      </c>
      <c r="S126" s="360" t="s">
        <v>38</v>
      </c>
    </row>
    <row r="127" spans="3:19" ht="12.5">
      <c r="C127" s="233"/>
      <c r="D127" s="241"/>
      <c r="E127" s="233"/>
      <c r="F127" s="233"/>
      <c r="G127" s="233"/>
      <c r="H127" s="233"/>
      <c r="I127" s="242"/>
      <c r="J127" s="233"/>
      <c r="K127" s="243"/>
      <c r="L127" s="233"/>
      <c r="M127" s="233"/>
      <c r="N127" s="233"/>
      <c r="O127" s="233"/>
      <c r="P127" s="233"/>
      <c r="Q127" s="243"/>
      <c r="R127" s="413">
        <v>915403759.15384614</v>
      </c>
      <c r="S127" s="368" t="s">
        <v>327</v>
      </c>
    </row>
    <row r="128" spans="3:19" ht="13" thickBot="1">
      <c r="C128" s="233"/>
      <c r="D128" s="241"/>
      <c r="E128" s="233"/>
      <c r="F128" s="233"/>
      <c r="G128" s="233"/>
      <c r="H128" s="233"/>
      <c r="I128" s="242"/>
      <c r="J128" s="233"/>
      <c r="K128" s="243"/>
      <c r="L128" s="233"/>
      <c r="M128" s="233"/>
      <c r="N128" s="233"/>
      <c r="O128" s="233"/>
      <c r="P128" s="233"/>
      <c r="Q128" s="243"/>
      <c r="R128" s="414">
        <v>22197738</v>
      </c>
      <c r="S128" s="370" t="s">
        <v>323</v>
      </c>
    </row>
    <row r="129" spans="3:19" ht="12.5">
      <c r="C129" s="233"/>
      <c r="D129" s="241"/>
      <c r="E129" s="233"/>
      <c r="F129" s="233"/>
      <c r="G129" s="233"/>
      <c r="H129" s="233"/>
      <c r="I129" s="242"/>
      <c r="J129" s="233"/>
      <c r="K129" s="243"/>
      <c r="L129" s="233"/>
      <c r="M129" s="233"/>
      <c r="N129" s="233"/>
      <c r="O129" s="233"/>
      <c r="P129" s="233"/>
      <c r="Q129" s="243"/>
      <c r="R129" s="233"/>
      <c r="S129" s="233"/>
    </row>
    <row r="130" spans="3:19" ht="13">
      <c r="C130" s="233"/>
      <c r="D130" s="241"/>
      <c r="E130" s="233"/>
      <c r="F130" s="233"/>
      <c r="G130" s="233"/>
      <c r="H130" s="233"/>
      <c r="I130" s="242"/>
      <c r="J130" s="233"/>
      <c r="K130" s="243"/>
      <c r="L130" s="233"/>
      <c r="M130" s="233"/>
      <c r="N130" s="233"/>
      <c r="O130" s="233"/>
      <c r="P130" s="233"/>
      <c r="Q130" s="243"/>
      <c r="R130" s="350" t="s">
        <v>116</v>
      </c>
      <c r="S130" s="233" t="s">
        <v>130</v>
      </c>
    </row>
    <row r="131" spans="3:19" ht="13.5" thickBot="1">
      <c r="C131" s="233"/>
      <c r="D131" s="241"/>
      <c r="E131" s="233"/>
      <c r="F131" s="233"/>
      <c r="G131" s="233"/>
      <c r="H131" s="233"/>
      <c r="I131" s="242"/>
      <c r="J131" s="233"/>
      <c r="K131" s="243"/>
      <c r="L131" s="233"/>
      <c r="M131" s="233"/>
      <c r="N131" s="233"/>
      <c r="O131" s="233"/>
      <c r="P131" s="233"/>
      <c r="Q131" s="243"/>
      <c r="R131" s="351" t="s">
        <v>134</v>
      </c>
      <c r="S131" s="233"/>
    </row>
    <row r="132" spans="3:19" ht="12.5">
      <c r="C132" s="233"/>
      <c r="D132" s="241"/>
      <c r="E132" s="233"/>
      <c r="F132" s="233"/>
      <c r="G132" s="233"/>
      <c r="H132" s="233"/>
      <c r="I132" s="242"/>
      <c r="J132" s="233"/>
      <c r="K132" s="243"/>
      <c r="L132" s="233"/>
      <c r="M132" s="233"/>
      <c r="N132" s="233"/>
      <c r="O132" s="233"/>
      <c r="P132" s="233"/>
      <c r="Q132" s="243"/>
      <c r="R132" s="371">
        <f>+N17</f>
        <v>7284760.4319926891</v>
      </c>
      <c r="S132" s="148" t="s">
        <v>136</v>
      </c>
    </row>
    <row r="133" spans="3:19" ht="12.5">
      <c r="C133" s="233"/>
      <c r="D133" s="241"/>
      <c r="E133" s="233"/>
      <c r="F133" s="233"/>
      <c r="G133" s="233"/>
      <c r="H133" s="233"/>
      <c r="I133" s="242"/>
      <c r="J133" s="233"/>
      <c r="K133" s="243"/>
      <c r="L133" s="233"/>
      <c r="M133" s="233"/>
      <c r="N133" s="233"/>
      <c r="O133" s="233"/>
      <c r="P133" s="233"/>
      <c r="Q133" s="243"/>
      <c r="R133" s="372">
        <f>+O17</f>
        <v>7284760.4319926891</v>
      </c>
      <c r="S133" s="148" t="s">
        <v>137</v>
      </c>
    </row>
    <row r="134" spans="3:19" ht="12.5">
      <c r="C134" s="233"/>
      <c r="D134" s="241"/>
      <c r="E134" s="233"/>
      <c r="F134" s="233"/>
      <c r="G134" s="233"/>
      <c r="H134" s="233"/>
      <c r="I134" s="242"/>
      <c r="J134" s="233"/>
      <c r="K134" s="243"/>
      <c r="L134" s="233"/>
      <c r="M134" s="233"/>
      <c r="N134" s="233"/>
      <c r="O134" s="233"/>
      <c r="P134" s="233"/>
      <c r="Q134" s="243"/>
      <c r="R134" s="415">
        <f>+N18</f>
        <v>6892824.3905835506</v>
      </c>
      <c r="S134" s="148" t="s">
        <v>138</v>
      </c>
    </row>
    <row r="135" spans="3:19" ht="13" thickBot="1">
      <c r="C135" s="233"/>
      <c r="D135" s="241"/>
      <c r="E135" s="233"/>
      <c r="F135" s="233"/>
      <c r="G135" s="233"/>
      <c r="H135" s="233"/>
      <c r="I135" s="242"/>
      <c r="J135" s="233"/>
      <c r="K135" s="243"/>
      <c r="L135" s="233"/>
      <c r="M135" s="233"/>
      <c r="N135" s="233"/>
      <c r="O135" s="233"/>
      <c r="P135" s="233"/>
      <c r="Q135" s="243"/>
      <c r="R135" s="373">
        <f>+O18</f>
        <v>6892824.3905835506</v>
      </c>
      <c r="S135" s="148" t="s">
        <v>139</v>
      </c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topLeftCell="E1" zoomScale="85" zoomScaleNormal="8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27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230012.66047295602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230012.66047295602</v>
      </c>
      <c r="O6" s="233"/>
      <c r="P6" s="233"/>
    </row>
    <row r="7" spans="1:16" ht="13.5" thickBot="1">
      <c r="C7" s="432" t="s">
        <v>46</v>
      </c>
      <c r="D7" s="623" t="s">
        <v>348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351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4236000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2019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3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94133.333333333328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2019</v>
      </c>
      <c r="D17" s="347">
        <v>0</v>
      </c>
      <c r="E17" s="620">
        <v>0</v>
      </c>
      <c r="F17" s="486">
        <v>4120000</v>
      </c>
      <c r="G17" s="620">
        <v>230012.66047295602</v>
      </c>
      <c r="H17" s="456">
        <v>230012.66047295602</v>
      </c>
      <c r="I17" s="476">
        <f>H17-G17</f>
        <v>0</v>
      </c>
      <c r="J17" s="476"/>
      <c r="K17" s="555">
        <f>+G17</f>
        <v>230012.66047295602</v>
      </c>
      <c r="L17" s="478">
        <f t="shared" ref="L17" si="0">IF(K17&lt;&gt;0,+G17-K17,0)</f>
        <v>0</v>
      </c>
      <c r="M17" s="555">
        <f>+H17</f>
        <v>230012.66047295602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2020</v>
      </c>
      <c r="D18" s="484">
        <f>IF(F17+SUM(E$17:E17)=D$10,F17,D$10-SUM(E$17:E17))</f>
        <v>4236000</v>
      </c>
      <c r="E18" s="485">
        <f>IF(+I$14&lt;F17,I$14,D18)</f>
        <v>94133.333333333328</v>
      </c>
      <c r="F18" s="486">
        <f>+D18-E18</f>
        <v>4141866.6666666665</v>
      </c>
      <c r="G18" s="487">
        <f>(D18+F18)/2*I$12+E18</f>
        <v>661044.34401818144</v>
      </c>
      <c r="H18" s="456">
        <f>+(D18+F18)/2*I$13+E18</f>
        <v>661044.34401818144</v>
      </c>
      <c r="I18" s="476">
        <f>H18-G18</f>
        <v>0</v>
      </c>
      <c r="J18" s="476"/>
      <c r="K18" s="488"/>
      <c r="L18" s="479">
        <f t="shared" ref="L18:L72" si="3">IF(K18&lt;&gt;0,+G18-K18,0)</f>
        <v>0</v>
      </c>
      <c r="M18" s="488"/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/>
      </c>
      <c r="C19" s="473">
        <f>IF(D11="","-",+C18+1)</f>
        <v>2021</v>
      </c>
      <c r="D19" s="484">
        <f>IF(F18+SUM(E$17:E18)=D$10,F18,D$10-SUM(E$17:E18))</f>
        <v>4141866.6666666665</v>
      </c>
      <c r="E19" s="485">
        <f t="shared" ref="E19:E71" si="4">IF(+I$14&lt;F18,I$14,D19)</f>
        <v>94133.333333333328</v>
      </c>
      <c r="F19" s="486">
        <f t="shared" ref="F19:F71" si="5">+D19-E19</f>
        <v>4047733.333333333</v>
      </c>
      <c r="G19" s="487">
        <f t="shared" ref="G19:G71" si="6">(D19+F19)/2*I$12+E19</f>
        <v>648304.77074436471</v>
      </c>
      <c r="H19" s="456">
        <f t="shared" ref="H19:H71" si="7">+(D19+F19)/2*I$13+E19</f>
        <v>648304.77074436471</v>
      </c>
      <c r="I19" s="476">
        <f t="shared" ref="I19:I71" si="8">H19-G19</f>
        <v>0</v>
      </c>
      <c r="J19" s="476"/>
      <c r="K19" s="488"/>
      <c r="L19" s="479">
        <f t="shared" si="3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9">IF(D20=F19,"","IU")</f>
        <v/>
      </c>
      <c r="C20" s="473">
        <f>IF(D11="","-",+C19+1)</f>
        <v>2022</v>
      </c>
      <c r="D20" s="484">
        <f>IF(F19+SUM(E$17:E19)=D$10,F19,D$10-SUM(E$17:E19))</f>
        <v>4047733.333333333</v>
      </c>
      <c r="E20" s="485">
        <f t="shared" si="4"/>
        <v>94133.333333333328</v>
      </c>
      <c r="F20" s="486">
        <f t="shared" si="5"/>
        <v>3953599.9999999995</v>
      </c>
      <c r="G20" s="487">
        <f t="shared" si="6"/>
        <v>635565.19747054775</v>
      </c>
      <c r="H20" s="456">
        <f t="shared" si="7"/>
        <v>635565.19747054775</v>
      </c>
      <c r="I20" s="476">
        <f t="shared" si="8"/>
        <v>0</v>
      </c>
      <c r="J20" s="476"/>
      <c r="K20" s="488"/>
      <c r="L20" s="479">
        <f t="shared" si="3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9"/>
        <v/>
      </c>
      <c r="C21" s="473">
        <f>IF(D11="","-",+C20+1)</f>
        <v>2023</v>
      </c>
      <c r="D21" s="484">
        <f>IF(F20+SUM(E$17:E20)=D$10,F20,D$10-SUM(E$17:E20))</f>
        <v>3953599.9999999995</v>
      </c>
      <c r="E21" s="485">
        <f t="shared" si="4"/>
        <v>94133.333333333328</v>
      </c>
      <c r="F21" s="486">
        <f t="shared" si="5"/>
        <v>3859466.666666666</v>
      </c>
      <c r="G21" s="487">
        <f t="shared" si="6"/>
        <v>622825.62419673102</v>
      </c>
      <c r="H21" s="456">
        <f t="shared" si="7"/>
        <v>622825.62419673102</v>
      </c>
      <c r="I21" s="476">
        <f t="shared" si="8"/>
        <v>0</v>
      </c>
      <c r="J21" s="476"/>
      <c r="K21" s="488"/>
      <c r="L21" s="479">
        <f t="shared" si="3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9"/>
        <v/>
      </c>
      <c r="C22" s="473">
        <f>IF(D11="","-",+C21+1)</f>
        <v>2024</v>
      </c>
      <c r="D22" s="484">
        <f>IF(F21+SUM(E$17:E21)=D$10,F21,D$10-SUM(E$17:E21))</f>
        <v>3859466.666666666</v>
      </c>
      <c r="E22" s="485">
        <f t="shared" si="4"/>
        <v>94133.333333333328</v>
      </c>
      <c r="F22" s="486">
        <f t="shared" si="5"/>
        <v>3765333.3333333326</v>
      </c>
      <c r="G22" s="487">
        <f t="shared" si="6"/>
        <v>610086.05092291406</v>
      </c>
      <c r="H22" s="456">
        <f t="shared" si="7"/>
        <v>610086.05092291406</v>
      </c>
      <c r="I22" s="476">
        <f t="shared" si="8"/>
        <v>0</v>
      </c>
      <c r="J22" s="476"/>
      <c r="K22" s="488"/>
      <c r="L22" s="479">
        <f t="shared" si="3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9"/>
        <v/>
      </c>
      <c r="C23" s="473">
        <f>IF(D11="","-",+C22+1)</f>
        <v>2025</v>
      </c>
      <c r="D23" s="484">
        <f>IF(F22+SUM(E$17:E22)=D$10,F22,D$10-SUM(E$17:E22))</f>
        <v>3765333.3333333326</v>
      </c>
      <c r="E23" s="485">
        <f t="shared" si="4"/>
        <v>94133.333333333328</v>
      </c>
      <c r="F23" s="486">
        <f t="shared" si="5"/>
        <v>3671199.9999999991</v>
      </c>
      <c r="G23" s="487">
        <f t="shared" si="6"/>
        <v>597346.47764909733</v>
      </c>
      <c r="H23" s="456">
        <f t="shared" si="7"/>
        <v>597346.47764909733</v>
      </c>
      <c r="I23" s="476">
        <f t="shared" si="8"/>
        <v>0</v>
      </c>
      <c r="J23" s="476"/>
      <c r="K23" s="488"/>
      <c r="L23" s="479">
        <f t="shared" si="3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9"/>
        <v/>
      </c>
      <c r="C24" s="473">
        <f>IF(D11="","-",+C23+1)</f>
        <v>2026</v>
      </c>
      <c r="D24" s="484">
        <f>IF(F23+SUM(E$17:E23)=D$10,F23,D$10-SUM(E$17:E23))</f>
        <v>3671199.9999999991</v>
      </c>
      <c r="E24" s="485">
        <f t="shared" si="4"/>
        <v>94133.333333333328</v>
      </c>
      <c r="F24" s="486">
        <f t="shared" si="5"/>
        <v>3577066.6666666656</v>
      </c>
      <c r="G24" s="487">
        <f t="shared" si="6"/>
        <v>584606.90437528037</v>
      </c>
      <c r="H24" s="456">
        <f t="shared" si="7"/>
        <v>584606.90437528037</v>
      </c>
      <c r="I24" s="476">
        <f t="shared" si="8"/>
        <v>0</v>
      </c>
      <c r="J24" s="476"/>
      <c r="K24" s="488"/>
      <c r="L24" s="479">
        <f t="shared" si="3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9"/>
        <v/>
      </c>
      <c r="C25" s="473">
        <f>IF(D11="","-",+C24+1)</f>
        <v>2027</v>
      </c>
      <c r="D25" s="484">
        <f>IF(F24+SUM(E$17:E24)=D$10,F24,D$10-SUM(E$17:E24))</f>
        <v>3577066.6666666656</v>
      </c>
      <c r="E25" s="485">
        <f t="shared" si="4"/>
        <v>94133.333333333328</v>
      </c>
      <c r="F25" s="486">
        <f t="shared" si="5"/>
        <v>3482933.3333333321</v>
      </c>
      <c r="G25" s="487">
        <f t="shared" si="6"/>
        <v>571867.33110146364</v>
      </c>
      <c r="H25" s="456">
        <f t="shared" si="7"/>
        <v>571867.33110146364</v>
      </c>
      <c r="I25" s="476">
        <f t="shared" si="8"/>
        <v>0</v>
      </c>
      <c r="J25" s="476"/>
      <c r="K25" s="488"/>
      <c r="L25" s="479">
        <f t="shared" si="3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9"/>
        <v/>
      </c>
      <c r="C26" s="473">
        <f>IF(D11="","-",+C25+1)</f>
        <v>2028</v>
      </c>
      <c r="D26" s="484">
        <f>IF(F25+SUM(E$17:E25)=D$10,F25,D$10-SUM(E$17:E25))</f>
        <v>3482933.3333333321</v>
      </c>
      <c r="E26" s="485">
        <f t="shared" si="4"/>
        <v>94133.333333333328</v>
      </c>
      <c r="F26" s="486">
        <f t="shared" si="5"/>
        <v>3388799.9999999986</v>
      </c>
      <c r="G26" s="487">
        <f t="shared" si="6"/>
        <v>559127.7578276468</v>
      </c>
      <c r="H26" s="456">
        <f t="shared" si="7"/>
        <v>559127.7578276468</v>
      </c>
      <c r="I26" s="476">
        <f t="shared" si="8"/>
        <v>0</v>
      </c>
      <c r="J26" s="476"/>
      <c r="K26" s="488"/>
      <c r="L26" s="479">
        <f t="shared" si="3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9"/>
        <v/>
      </c>
      <c r="C27" s="473">
        <f>IF(D11="","-",+C26+1)</f>
        <v>2029</v>
      </c>
      <c r="D27" s="484">
        <f>IF(F26+SUM(E$17:E26)=D$10,F26,D$10-SUM(E$17:E26))</f>
        <v>3388799.9999999986</v>
      </c>
      <c r="E27" s="485">
        <f t="shared" si="4"/>
        <v>94133.333333333328</v>
      </c>
      <c r="F27" s="486">
        <f t="shared" si="5"/>
        <v>3294666.6666666651</v>
      </c>
      <c r="G27" s="487">
        <f t="shared" si="6"/>
        <v>546388.18455382995</v>
      </c>
      <c r="H27" s="456">
        <f t="shared" si="7"/>
        <v>546388.18455382995</v>
      </c>
      <c r="I27" s="476">
        <f t="shared" si="8"/>
        <v>0</v>
      </c>
      <c r="J27" s="476"/>
      <c r="K27" s="488"/>
      <c r="L27" s="479">
        <f t="shared" si="3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9"/>
        <v/>
      </c>
      <c r="C28" s="473">
        <f>IF(D11="","-",+C27+1)</f>
        <v>2030</v>
      </c>
      <c r="D28" s="484">
        <f>IF(F27+SUM(E$17:E27)=D$10,F27,D$10-SUM(E$17:E27))</f>
        <v>3294666.6666666651</v>
      </c>
      <c r="E28" s="485">
        <f t="shared" si="4"/>
        <v>94133.333333333328</v>
      </c>
      <c r="F28" s="486">
        <f t="shared" si="5"/>
        <v>3200533.3333333316</v>
      </c>
      <c r="G28" s="487">
        <f t="shared" si="6"/>
        <v>533648.61128001311</v>
      </c>
      <c r="H28" s="456">
        <f t="shared" si="7"/>
        <v>533648.61128001311</v>
      </c>
      <c r="I28" s="476">
        <f t="shared" si="8"/>
        <v>0</v>
      </c>
      <c r="J28" s="476"/>
      <c r="K28" s="488"/>
      <c r="L28" s="479">
        <f t="shared" si="3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9"/>
        <v/>
      </c>
      <c r="C29" s="473">
        <f>IF(D11="","-",+C28+1)</f>
        <v>2031</v>
      </c>
      <c r="D29" s="484">
        <f>IF(F28+SUM(E$17:E28)=D$10,F28,D$10-SUM(E$17:E28))</f>
        <v>3200533.3333333316</v>
      </c>
      <c r="E29" s="485">
        <f t="shared" si="4"/>
        <v>94133.333333333328</v>
      </c>
      <c r="F29" s="486">
        <f t="shared" si="5"/>
        <v>3106399.9999999981</v>
      </c>
      <c r="G29" s="487">
        <f t="shared" si="6"/>
        <v>520909.03800619626</v>
      </c>
      <c r="H29" s="456">
        <f t="shared" si="7"/>
        <v>520909.03800619626</v>
      </c>
      <c r="I29" s="476">
        <f t="shared" si="8"/>
        <v>0</v>
      </c>
      <c r="J29" s="476"/>
      <c r="K29" s="488"/>
      <c r="L29" s="479">
        <f t="shared" si="3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9"/>
        <v/>
      </c>
      <c r="C30" s="473">
        <f>IF(D11="","-",+C29+1)</f>
        <v>2032</v>
      </c>
      <c r="D30" s="484">
        <f>IF(F29+SUM(E$17:E29)=D$10,F29,D$10-SUM(E$17:E29))</f>
        <v>3106399.9999999981</v>
      </c>
      <c r="E30" s="485">
        <f t="shared" si="4"/>
        <v>94133.333333333328</v>
      </c>
      <c r="F30" s="486">
        <f t="shared" si="5"/>
        <v>3012266.6666666646</v>
      </c>
      <c r="G30" s="487">
        <f t="shared" si="6"/>
        <v>508169.46473237942</v>
      </c>
      <c r="H30" s="456">
        <f t="shared" si="7"/>
        <v>508169.46473237942</v>
      </c>
      <c r="I30" s="476">
        <f t="shared" si="8"/>
        <v>0</v>
      </c>
      <c r="J30" s="476"/>
      <c r="K30" s="488"/>
      <c r="L30" s="479">
        <f t="shared" si="3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9"/>
        <v/>
      </c>
      <c r="C31" s="473">
        <f>IF(D11="","-",+C30+1)</f>
        <v>2033</v>
      </c>
      <c r="D31" s="484">
        <f>IF(F30+SUM(E$17:E30)=D$10,F30,D$10-SUM(E$17:E30))</f>
        <v>3012266.6666666646</v>
      </c>
      <c r="E31" s="485">
        <f t="shared" si="4"/>
        <v>94133.333333333328</v>
      </c>
      <c r="F31" s="486">
        <f t="shared" si="5"/>
        <v>2918133.3333333312</v>
      </c>
      <c r="G31" s="487">
        <f t="shared" si="6"/>
        <v>495429.89145856263</v>
      </c>
      <c r="H31" s="456">
        <f t="shared" si="7"/>
        <v>495429.89145856263</v>
      </c>
      <c r="I31" s="476">
        <f t="shared" si="8"/>
        <v>0</v>
      </c>
      <c r="J31" s="476"/>
      <c r="K31" s="488"/>
      <c r="L31" s="479">
        <f t="shared" si="3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9"/>
        <v/>
      </c>
      <c r="C32" s="473">
        <f>IF(D11="","-",+C31+1)</f>
        <v>2034</v>
      </c>
      <c r="D32" s="484">
        <f>IF(F31+SUM(E$17:E31)=D$10,F31,D$10-SUM(E$17:E31))</f>
        <v>2918133.3333333312</v>
      </c>
      <c r="E32" s="485">
        <f t="shared" si="4"/>
        <v>94133.333333333328</v>
      </c>
      <c r="F32" s="486">
        <f t="shared" si="5"/>
        <v>2823999.9999999977</v>
      </c>
      <c r="G32" s="487">
        <f t="shared" si="6"/>
        <v>482690.31818474573</v>
      </c>
      <c r="H32" s="456">
        <f t="shared" si="7"/>
        <v>482690.31818474573</v>
      </c>
      <c r="I32" s="476">
        <f t="shared" si="8"/>
        <v>0</v>
      </c>
      <c r="J32" s="476"/>
      <c r="K32" s="488"/>
      <c r="L32" s="479">
        <f t="shared" si="3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9"/>
        <v/>
      </c>
      <c r="C33" s="473">
        <f>IF(D11="","-",+C32+1)</f>
        <v>2035</v>
      </c>
      <c r="D33" s="484">
        <f>IF(F32+SUM(E$17:E32)=D$10,F32,D$10-SUM(E$17:E32))</f>
        <v>2823999.9999999977</v>
      </c>
      <c r="E33" s="485">
        <f t="shared" si="4"/>
        <v>94133.333333333328</v>
      </c>
      <c r="F33" s="486">
        <f t="shared" si="5"/>
        <v>2729866.6666666642</v>
      </c>
      <c r="G33" s="487">
        <f t="shared" si="6"/>
        <v>469950.74491092894</v>
      </c>
      <c r="H33" s="456">
        <f t="shared" si="7"/>
        <v>469950.74491092894</v>
      </c>
      <c r="I33" s="476">
        <f t="shared" si="8"/>
        <v>0</v>
      </c>
      <c r="J33" s="476"/>
      <c r="K33" s="488"/>
      <c r="L33" s="479">
        <f t="shared" si="3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9"/>
        <v/>
      </c>
      <c r="C34" s="473">
        <f>IF(D11="","-",+C33+1)</f>
        <v>2036</v>
      </c>
      <c r="D34" s="484">
        <f>IF(F33+SUM(E$17:E33)=D$10,F33,D$10-SUM(E$17:E33))</f>
        <v>2729866.6666666642</v>
      </c>
      <c r="E34" s="485">
        <f t="shared" si="4"/>
        <v>94133.333333333328</v>
      </c>
      <c r="F34" s="486">
        <f t="shared" si="5"/>
        <v>2635733.3333333307</v>
      </c>
      <c r="G34" s="487">
        <f t="shared" si="6"/>
        <v>457211.17163711204</v>
      </c>
      <c r="H34" s="456">
        <f t="shared" si="7"/>
        <v>457211.17163711204</v>
      </c>
      <c r="I34" s="476">
        <f t="shared" si="8"/>
        <v>0</v>
      </c>
      <c r="J34" s="476"/>
      <c r="K34" s="488"/>
      <c r="L34" s="479">
        <f t="shared" si="3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9"/>
        <v/>
      </c>
      <c r="C35" s="473">
        <f>IF(D11="","-",+C34+1)</f>
        <v>2037</v>
      </c>
      <c r="D35" s="484">
        <f>IF(F34+SUM(E$17:E34)=D$10,F34,D$10-SUM(E$17:E34))</f>
        <v>2635733.3333333307</v>
      </c>
      <c r="E35" s="485">
        <f t="shared" si="4"/>
        <v>94133.333333333328</v>
      </c>
      <c r="F35" s="486">
        <f t="shared" si="5"/>
        <v>2541599.9999999972</v>
      </c>
      <c r="G35" s="487">
        <f t="shared" si="6"/>
        <v>444471.59836329531</v>
      </c>
      <c r="H35" s="456">
        <f t="shared" si="7"/>
        <v>444471.59836329531</v>
      </c>
      <c r="I35" s="476">
        <f t="shared" si="8"/>
        <v>0</v>
      </c>
      <c r="J35" s="476"/>
      <c r="K35" s="488"/>
      <c r="L35" s="479">
        <f t="shared" si="3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9"/>
        <v/>
      </c>
      <c r="C36" s="473">
        <f>IF(D11="","-",+C35+1)</f>
        <v>2038</v>
      </c>
      <c r="D36" s="484">
        <f>IF(F35+SUM(E$17:E35)=D$10,F35,D$10-SUM(E$17:E35))</f>
        <v>2541599.9999999972</v>
      </c>
      <c r="E36" s="485">
        <f t="shared" si="4"/>
        <v>94133.333333333328</v>
      </c>
      <c r="F36" s="486">
        <f t="shared" si="5"/>
        <v>2447466.6666666637</v>
      </c>
      <c r="G36" s="487">
        <f t="shared" si="6"/>
        <v>431732.02508947841</v>
      </c>
      <c r="H36" s="456">
        <f t="shared" si="7"/>
        <v>431732.02508947841</v>
      </c>
      <c r="I36" s="476">
        <f t="shared" si="8"/>
        <v>0</v>
      </c>
      <c r="J36" s="476"/>
      <c r="K36" s="488"/>
      <c r="L36" s="479">
        <f t="shared" si="3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9"/>
        <v/>
      </c>
      <c r="C37" s="473">
        <f>IF(D11="","-",+C36+1)</f>
        <v>2039</v>
      </c>
      <c r="D37" s="484">
        <f>IF(F36+SUM(E$17:E36)=D$10,F36,D$10-SUM(E$17:E36))</f>
        <v>2447466.6666666637</v>
      </c>
      <c r="E37" s="485">
        <f t="shared" si="4"/>
        <v>94133.333333333328</v>
      </c>
      <c r="F37" s="486">
        <f t="shared" si="5"/>
        <v>2353333.3333333302</v>
      </c>
      <c r="G37" s="487">
        <f t="shared" si="6"/>
        <v>418992.45181566163</v>
      </c>
      <c r="H37" s="456">
        <f t="shared" si="7"/>
        <v>418992.45181566163</v>
      </c>
      <c r="I37" s="476">
        <f t="shared" si="8"/>
        <v>0</v>
      </c>
      <c r="J37" s="476"/>
      <c r="K37" s="488"/>
      <c r="L37" s="479">
        <f t="shared" si="3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9"/>
        <v/>
      </c>
      <c r="C38" s="473">
        <f>IF(D11="","-",+C37+1)</f>
        <v>2040</v>
      </c>
      <c r="D38" s="484">
        <f>IF(F37+SUM(E$17:E37)=D$10,F37,D$10-SUM(E$17:E37))</f>
        <v>2353333.3333333302</v>
      </c>
      <c r="E38" s="485">
        <f t="shared" si="4"/>
        <v>94133.333333333328</v>
      </c>
      <c r="F38" s="486">
        <f t="shared" si="5"/>
        <v>2259199.9999999967</v>
      </c>
      <c r="G38" s="487">
        <f t="shared" si="6"/>
        <v>406252.87854184472</v>
      </c>
      <c r="H38" s="456">
        <f t="shared" si="7"/>
        <v>406252.87854184472</v>
      </c>
      <c r="I38" s="476">
        <f t="shared" si="8"/>
        <v>0</v>
      </c>
      <c r="J38" s="476"/>
      <c r="K38" s="488"/>
      <c r="L38" s="479">
        <f t="shared" si="3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9"/>
        <v/>
      </c>
      <c r="C39" s="473">
        <f>IF(D11="","-",+C38+1)</f>
        <v>2041</v>
      </c>
      <c r="D39" s="484">
        <f>IF(F38+SUM(E$17:E38)=D$10,F38,D$10-SUM(E$17:E38))</f>
        <v>2259199.9999999967</v>
      </c>
      <c r="E39" s="485">
        <f t="shared" si="4"/>
        <v>94133.333333333328</v>
      </c>
      <c r="F39" s="486">
        <f t="shared" si="5"/>
        <v>2165066.6666666633</v>
      </c>
      <c r="G39" s="487">
        <f t="shared" si="6"/>
        <v>393513.30526802794</v>
      </c>
      <c r="H39" s="456">
        <f t="shared" si="7"/>
        <v>393513.30526802794</v>
      </c>
      <c r="I39" s="476">
        <f t="shared" si="8"/>
        <v>0</v>
      </c>
      <c r="J39" s="476"/>
      <c r="K39" s="488"/>
      <c r="L39" s="479">
        <f t="shared" si="3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9"/>
        <v/>
      </c>
      <c r="C40" s="473">
        <f>IF(D11="","-",+C39+1)</f>
        <v>2042</v>
      </c>
      <c r="D40" s="484">
        <f>IF(F39+SUM(E$17:E39)=D$10,F39,D$10-SUM(E$17:E39))</f>
        <v>2165066.6666666633</v>
      </c>
      <c r="E40" s="485">
        <f t="shared" si="4"/>
        <v>94133.333333333328</v>
      </c>
      <c r="F40" s="486">
        <f t="shared" si="5"/>
        <v>2070933.33333333</v>
      </c>
      <c r="G40" s="487">
        <f t="shared" si="6"/>
        <v>380773.73199421115</v>
      </c>
      <c r="H40" s="456">
        <f t="shared" si="7"/>
        <v>380773.73199421115</v>
      </c>
      <c r="I40" s="476">
        <f t="shared" si="8"/>
        <v>0</v>
      </c>
      <c r="J40" s="476"/>
      <c r="K40" s="488"/>
      <c r="L40" s="479">
        <f t="shared" si="3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9"/>
        <v/>
      </c>
      <c r="C41" s="473">
        <f>IF(D11="","-",+C40+1)</f>
        <v>2043</v>
      </c>
      <c r="D41" s="484">
        <f>IF(F40+SUM(E$17:E40)=D$10,F40,D$10-SUM(E$17:E40))</f>
        <v>2070933.33333333</v>
      </c>
      <c r="E41" s="485">
        <f t="shared" si="4"/>
        <v>94133.333333333328</v>
      </c>
      <c r="F41" s="486">
        <f t="shared" si="5"/>
        <v>1976799.9999999967</v>
      </c>
      <c r="G41" s="487">
        <f t="shared" si="6"/>
        <v>368034.15872039431</v>
      </c>
      <c r="H41" s="456">
        <f t="shared" si="7"/>
        <v>368034.15872039431</v>
      </c>
      <c r="I41" s="476">
        <f t="shared" si="8"/>
        <v>0</v>
      </c>
      <c r="J41" s="476"/>
      <c r="K41" s="488"/>
      <c r="L41" s="479">
        <f t="shared" si="3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9"/>
        <v/>
      </c>
      <c r="C42" s="473">
        <f>IF(D11="","-",+C41+1)</f>
        <v>2044</v>
      </c>
      <c r="D42" s="484">
        <f>IF(F41+SUM(E$17:E41)=D$10,F41,D$10-SUM(E$17:E41))</f>
        <v>1976799.9999999967</v>
      </c>
      <c r="E42" s="485">
        <f t="shared" si="4"/>
        <v>94133.333333333328</v>
      </c>
      <c r="F42" s="486">
        <f t="shared" si="5"/>
        <v>1882666.6666666635</v>
      </c>
      <c r="G42" s="487">
        <f t="shared" si="6"/>
        <v>355294.58544657752</v>
      </c>
      <c r="H42" s="456">
        <f t="shared" si="7"/>
        <v>355294.58544657752</v>
      </c>
      <c r="I42" s="476">
        <f t="shared" si="8"/>
        <v>0</v>
      </c>
      <c r="J42" s="476"/>
      <c r="K42" s="488"/>
      <c r="L42" s="479">
        <f t="shared" si="3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9"/>
        <v/>
      </c>
      <c r="C43" s="473">
        <f>IF(D11="","-",+C42+1)</f>
        <v>2045</v>
      </c>
      <c r="D43" s="484">
        <f>IF(F42+SUM(E$17:E42)=D$10,F42,D$10-SUM(E$17:E42))</f>
        <v>1882666.6666666635</v>
      </c>
      <c r="E43" s="485">
        <f t="shared" si="4"/>
        <v>94133.333333333328</v>
      </c>
      <c r="F43" s="486">
        <f t="shared" si="5"/>
        <v>1788533.3333333302</v>
      </c>
      <c r="G43" s="487">
        <f t="shared" si="6"/>
        <v>342555.01217276073</v>
      </c>
      <c r="H43" s="456">
        <f t="shared" si="7"/>
        <v>342555.01217276073</v>
      </c>
      <c r="I43" s="476">
        <f t="shared" si="8"/>
        <v>0</v>
      </c>
      <c r="J43" s="476"/>
      <c r="K43" s="488"/>
      <c r="L43" s="479">
        <f t="shared" si="3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9"/>
        <v/>
      </c>
      <c r="C44" s="473">
        <f>IF(D11="","-",+C43+1)</f>
        <v>2046</v>
      </c>
      <c r="D44" s="484">
        <f>IF(F43+SUM(E$17:E43)=D$10,F43,D$10-SUM(E$17:E43))</f>
        <v>1788533.3333333302</v>
      </c>
      <c r="E44" s="485">
        <f t="shared" si="4"/>
        <v>94133.333333333328</v>
      </c>
      <c r="F44" s="486">
        <f t="shared" si="5"/>
        <v>1694399.999999997</v>
      </c>
      <c r="G44" s="487">
        <f t="shared" si="6"/>
        <v>329815.43889894395</v>
      </c>
      <c r="H44" s="456">
        <f t="shared" si="7"/>
        <v>329815.43889894395</v>
      </c>
      <c r="I44" s="476">
        <f t="shared" si="8"/>
        <v>0</v>
      </c>
      <c r="J44" s="476"/>
      <c r="K44" s="488"/>
      <c r="L44" s="479">
        <f t="shared" si="3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9"/>
        <v/>
      </c>
      <c r="C45" s="473">
        <f>IF(D11="","-",+C44+1)</f>
        <v>2047</v>
      </c>
      <c r="D45" s="484">
        <f>IF(F44+SUM(E$17:E44)=D$10,F44,D$10-SUM(E$17:E44))</f>
        <v>1694399.999999997</v>
      </c>
      <c r="E45" s="485">
        <f t="shared" si="4"/>
        <v>94133.333333333328</v>
      </c>
      <c r="F45" s="486">
        <f t="shared" si="5"/>
        <v>1600266.6666666637</v>
      </c>
      <c r="G45" s="487">
        <f t="shared" si="6"/>
        <v>317075.8656251271</v>
      </c>
      <c r="H45" s="456">
        <f t="shared" si="7"/>
        <v>317075.8656251271</v>
      </c>
      <c r="I45" s="476">
        <f t="shared" si="8"/>
        <v>0</v>
      </c>
      <c r="J45" s="476"/>
      <c r="K45" s="488"/>
      <c r="L45" s="479">
        <f t="shared" si="3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9"/>
        <v/>
      </c>
      <c r="C46" s="473">
        <f>IF(D11="","-",+C45+1)</f>
        <v>2048</v>
      </c>
      <c r="D46" s="484">
        <f>IF(F45+SUM(E$17:E45)=D$10,F45,D$10-SUM(E$17:E45))</f>
        <v>1600266.6666666637</v>
      </c>
      <c r="E46" s="485">
        <f t="shared" si="4"/>
        <v>94133.333333333328</v>
      </c>
      <c r="F46" s="486">
        <f t="shared" si="5"/>
        <v>1506133.3333333305</v>
      </c>
      <c r="G46" s="487">
        <f t="shared" si="6"/>
        <v>304336.29235131032</v>
      </c>
      <c r="H46" s="456">
        <f t="shared" si="7"/>
        <v>304336.29235131032</v>
      </c>
      <c r="I46" s="476">
        <f t="shared" si="8"/>
        <v>0</v>
      </c>
      <c r="J46" s="476"/>
      <c r="K46" s="488"/>
      <c r="L46" s="479">
        <f t="shared" si="3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9"/>
        <v/>
      </c>
      <c r="C47" s="473">
        <f>IF(D11="","-",+C46+1)</f>
        <v>2049</v>
      </c>
      <c r="D47" s="484">
        <f>IF(F46+SUM(E$17:E46)=D$10,F46,D$10-SUM(E$17:E46))</f>
        <v>1506133.3333333305</v>
      </c>
      <c r="E47" s="485">
        <f t="shared" si="4"/>
        <v>94133.333333333328</v>
      </c>
      <c r="F47" s="486">
        <f t="shared" si="5"/>
        <v>1411999.9999999972</v>
      </c>
      <c r="G47" s="487">
        <f t="shared" si="6"/>
        <v>291596.71907749353</v>
      </c>
      <c r="H47" s="456">
        <f t="shared" si="7"/>
        <v>291596.71907749353</v>
      </c>
      <c r="I47" s="476">
        <f t="shared" si="8"/>
        <v>0</v>
      </c>
      <c r="J47" s="476"/>
      <c r="K47" s="488"/>
      <c r="L47" s="479">
        <f t="shared" si="3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9"/>
        <v/>
      </c>
      <c r="C48" s="473">
        <f>IF(D11="","-",+C47+1)</f>
        <v>2050</v>
      </c>
      <c r="D48" s="484">
        <f>IF(F47+SUM(E$17:E47)=D$10,F47,D$10-SUM(E$17:E47))</f>
        <v>1411999.9999999972</v>
      </c>
      <c r="E48" s="485">
        <f t="shared" si="4"/>
        <v>94133.333333333328</v>
      </c>
      <c r="F48" s="486">
        <f t="shared" si="5"/>
        <v>1317866.666666664</v>
      </c>
      <c r="G48" s="487">
        <f t="shared" si="6"/>
        <v>278857.14580367674</v>
      </c>
      <c r="H48" s="456">
        <f t="shared" si="7"/>
        <v>278857.14580367674</v>
      </c>
      <c r="I48" s="476">
        <f t="shared" si="8"/>
        <v>0</v>
      </c>
      <c r="J48" s="476"/>
      <c r="K48" s="488"/>
      <c r="L48" s="479">
        <f t="shared" si="3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9"/>
        <v/>
      </c>
      <c r="C49" s="473">
        <f>IF(D11="","-",+C48+1)</f>
        <v>2051</v>
      </c>
      <c r="D49" s="484">
        <f>IF(F48+SUM(E$17:E48)=D$10,F48,D$10-SUM(E$17:E48))</f>
        <v>1317866.666666664</v>
      </c>
      <c r="E49" s="485">
        <f t="shared" si="4"/>
        <v>94133.333333333328</v>
      </c>
      <c r="F49" s="486">
        <f t="shared" si="5"/>
        <v>1223733.3333333307</v>
      </c>
      <c r="G49" s="487">
        <f t="shared" si="6"/>
        <v>266117.5725298599</v>
      </c>
      <c r="H49" s="456">
        <f t="shared" si="7"/>
        <v>266117.5725298599</v>
      </c>
      <c r="I49" s="476">
        <f t="shared" si="8"/>
        <v>0</v>
      </c>
      <c r="J49" s="476"/>
      <c r="K49" s="488"/>
      <c r="L49" s="479">
        <f t="shared" si="3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9"/>
        <v/>
      </c>
      <c r="C50" s="473">
        <f>IF(D11="","-",+C49+1)</f>
        <v>2052</v>
      </c>
      <c r="D50" s="484">
        <f>IF(F49+SUM(E$17:E49)=D$10,F49,D$10-SUM(E$17:E49))</f>
        <v>1223733.3333333307</v>
      </c>
      <c r="E50" s="485">
        <f t="shared" si="4"/>
        <v>94133.333333333328</v>
      </c>
      <c r="F50" s="486">
        <f t="shared" si="5"/>
        <v>1129599.9999999974</v>
      </c>
      <c r="G50" s="487">
        <f t="shared" si="6"/>
        <v>253377.99925604311</v>
      </c>
      <c r="H50" s="456">
        <f t="shared" si="7"/>
        <v>253377.99925604311</v>
      </c>
      <c r="I50" s="476">
        <f t="shared" si="8"/>
        <v>0</v>
      </c>
      <c r="J50" s="476"/>
      <c r="K50" s="488"/>
      <c r="L50" s="479">
        <f t="shared" si="3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9"/>
        <v/>
      </c>
      <c r="C51" s="473">
        <f>IF(D11="","-",+C50+1)</f>
        <v>2053</v>
      </c>
      <c r="D51" s="484">
        <f>IF(F50+SUM(E$17:E50)=D$10,F50,D$10-SUM(E$17:E50))</f>
        <v>1129599.9999999974</v>
      </c>
      <c r="E51" s="485">
        <f t="shared" si="4"/>
        <v>94133.333333333328</v>
      </c>
      <c r="F51" s="486">
        <f t="shared" si="5"/>
        <v>1035466.6666666641</v>
      </c>
      <c r="G51" s="487">
        <f t="shared" si="6"/>
        <v>240638.42598222633</v>
      </c>
      <c r="H51" s="456">
        <f t="shared" si="7"/>
        <v>240638.42598222633</v>
      </c>
      <c r="I51" s="476">
        <f t="shared" si="8"/>
        <v>0</v>
      </c>
      <c r="J51" s="476"/>
      <c r="K51" s="488"/>
      <c r="L51" s="479">
        <f t="shared" si="3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9"/>
        <v/>
      </c>
      <c r="C52" s="473">
        <f>IF(D11="","-",+C51+1)</f>
        <v>2054</v>
      </c>
      <c r="D52" s="484">
        <f>IF(F51+SUM(E$17:E51)=D$10,F51,D$10-SUM(E$17:E51))</f>
        <v>1035466.6666666641</v>
      </c>
      <c r="E52" s="485">
        <f t="shared" si="4"/>
        <v>94133.333333333328</v>
      </c>
      <c r="F52" s="486">
        <f t="shared" si="5"/>
        <v>941333.33333333069</v>
      </c>
      <c r="G52" s="487">
        <f t="shared" si="6"/>
        <v>227898.85270840948</v>
      </c>
      <c r="H52" s="456">
        <f t="shared" si="7"/>
        <v>227898.85270840948</v>
      </c>
      <c r="I52" s="476">
        <f t="shared" si="8"/>
        <v>0</v>
      </c>
      <c r="J52" s="476"/>
      <c r="K52" s="488"/>
      <c r="L52" s="479">
        <f t="shared" si="3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9"/>
        <v/>
      </c>
      <c r="C53" s="473">
        <f>IF(D11="","-",+C52+1)</f>
        <v>2055</v>
      </c>
      <c r="D53" s="484">
        <f>IF(F52+SUM(E$17:E52)=D$10,F52,D$10-SUM(E$17:E52))</f>
        <v>941333.33333333069</v>
      </c>
      <c r="E53" s="485">
        <f t="shared" si="4"/>
        <v>94133.333333333328</v>
      </c>
      <c r="F53" s="486">
        <f t="shared" si="5"/>
        <v>847199.99999999732</v>
      </c>
      <c r="G53" s="487">
        <f t="shared" si="6"/>
        <v>215159.27943459267</v>
      </c>
      <c r="H53" s="456">
        <f t="shared" si="7"/>
        <v>215159.27943459267</v>
      </c>
      <c r="I53" s="476">
        <f t="shared" si="8"/>
        <v>0</v>
      </c>
      <c r="J53" s="476"/>
      <c r="K53" s="488"/>
      <c r="L53" s="479">
        <f t="shared" si="3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9"/>
        <v/>
      </c>
      <c r="C54" s="473">
        <f>IF(D11="","-",+C53+1)</f>
        <v>2056</v>
      </c>
      <c r="D54" s="484">
        <f>IF(F53+SUM(E$17:E53)=D$10,F53,D$10-SUM(E$17:E53))</f>
        <v>847199.99999999732</v>
      </c>
      <c r="E54" s="485">
        <f t="shared" si="4"/>
        <v>94133.333333333328</v>
      </c>
      <c r="F54" s="486">
        <f t="shared" si="5"/>
        <v>753066.66666666395</v>
      </c>
      <c r="G54" s="487">
        <f t="shared" si="6"/>
        <v>202419.70616077585</v>
      </c>
      <c r="H54" s="456">
        <f t="shared" si="7"/>
        <v>202419.70616077585</v>
      </c>
      <c r="I54" s="476">
        <f t="shared" si="8"/>
        <v>0</v>
      </c>
      <c r="J54" s="476"/>
      <c r="K54" s="488"/>
      <c r="L54" s="479">
        <f t="shared" si="3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9"/>
        <v/>
      </c>
      <c r="C55" s="473">
        <f>IF(D11="","-",+C54+1)</f>
        <v>2057</v>
      </c>
      <c r="D55" s="484">
        <f>IF(F54+SUM(E$17:E54)=D$10,F54,D$10-SUM(E$17:E54))</f>
        <v>753066.66666666395</v>
      </c>
      <c r="E55" s="485">
        <f t="shared" si="4"/>
        <v>94133.333333333328</v>
      </c>
      <c r="F55" s="486">
        <f t="shared" si="5"/>
        <v>658933.33333333058</v>
      </c>
      <c r="G55" s="487">
        <f t="shared" si="6"/>
        <v>189680.13288695904</v>
      </c>
      <c r="H55" s="456">
        <f t="shared" si="7"/>
        <v>189680.13288695904</v>
      </c>
      <c r="I55" s="476">
        <f t="shared" si="8"/>
        <v>0</v>
      </c>
      <c r="J55" s="476"/>
      <c r="K55" s="488"/>
      <c r="L55" s="479">
        <f t="shared" si="3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9"/>
        <v/>
      </c>
      <c r="C56" s="473">
        <f>IF(D11="","-",+C55+1)</f>
        <v>2058</v>
      </c>
      <c r="D56" s="484">
        <f>IF(F55+SUM(E$17:E55)=D$10,F55,D$10-SUM(E$17:E55))</f>
        <v>658933.33333333058</v>
      </c>
      <c r="E56" s="485">
        <f t="shared" si="4"/>
        <v>94133.333333333328</v>
      </c>
      <c r="F56" s="486">
        <f t="shared" si="5"/>
        <v>564799.99999999721</v>
      </c>
      <c r="G56" s="487">
        <f t="shared" si="6"/>
        <v>176940.55961314222</v>
      </c>
      <c r="H56" s="456">
        <f t="shared" si="7"/>
        <v>176940.55961314222</v>
      </c>
      <c r="I56" s="476">
        <f t="shared" si="8"/>
        <v>0</v>
      </c>
      <c r="J56" s="476"/>
      <c r="K56" s="488"/>
      <c r="L56" s="479">
        <f t="shared" si="3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9"/>
        <v/>
      </c>
      <c r="C57" s="473">
        <f>IF(D11="","-",+C56+1)</f>
        <v>2059</v>
      </c>
      <c r="D57" s="484">
        <f>IF(F56+SUM(E$17:E56)=D$10,F56,D$10-SUM(E$17:E56))</f>
        <v>564799.99999999721</v>
      </c>
      <c r="E57" s="485">
        <f t="shared" si="4"/>
        <v>94133.333333333328</v>
      </c>
      <c r="F57" s="486">
        <f t="shared" si="5"/>
        <v>470666.66666666389</v>
      </c>
      <c r="G57" s="487">
        <f t="shared" si="6"/>
        <v>164200.98633932543</v>
      </c>
      <c r="H57" s="456">
        <f t="shared" si="7"/>
        <v>164200.98633932543</v>
      </c>
      <c r="I57" s="476">
        <f t="shared" si="8"/>
        <v>0</v>
      </c>
      <c r="J57" s="476"/>
      <c r="K57" s="488"/>
      <c r="L57" s="479">
        <f t="shared" si="3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9"/>
        <v/>
      </c>
      <c r="C58" s="473">
        <f>IF(D11="","-",+C57+1)</f>
        <v>2060</v>
      </c>
      <c r="D58" s="484">
        <f>IF(F57+SUM(E$17:E57)=D$10,F57,D$10-SUM(E$17:E57))</f>
        <v>470666.66666666389</v>
      </c>
      <c r="E58" s="485">
        <f t="shared" si="4"/>
        <v>94133.333333333328</v>
      </c>
      <c r="F58" s="486">
        <f t="shared" si="5"/>
        <v>376533.33333333058</v>
      </c>
      <c r="G58" s="487">
        <f t="shared" si="6"/>
        <v>151461.41306550859</v>
      </c>
      <c r="H58" s="456">
        <f t="shared" si="7"/>
        <v>151461.41306550859</v>
      </c>
      <c r="I58" s="476">
        <f t="shared" si="8"/>
        <v>0</v>
      </c>
      <c r="J58" s="476"/>
      <c r="K58" s="488"/>
      <c r="L58" s="479">
        <f t="shared" si="3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9"/>
        <v/>
      </c>
      <c r="C59" s="473">
        <f>IF(D11="","-",+C58+1)</f>
        <v>2061</v>
      </c>
      <c r="D59" s="484">
        <f>IF(F58+SUM(E$17:E58)=D$10,F58,D$10-SUM(E$17:E58))</f>
        <v>376533.33333333058</v>
      </c>
      <c r="E59" s="485">
        <f t="shared" si="4"/>
        <v>94133.333333333328</v>
      </c>
      <c r="F59" s="486">
        <f t="shared" si="5"/>
        <v>282399.99999999726</v>
      </c>
      <c r="G59" s="487">
        <f t="shared" si="6"/>
        <v>138721.8397916918</v>
      </c>
      <c r="H59" s="456">
        <f t="shared" si="7"/>
        <v>138721.8397916918</v>
      </c>
      <c r="I59" s="476">
        <f t="shared" si="8"/>
        <v>0</v>
      </c>
      <c r="J59" s="476"/>
      <c r="K59" s="488"/>
      <c r="L59" s="479">
        <f t="shared" si="3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9"/>
        <v/>
      </c>
      <c r="C60" s="473">
        <f>IF(D11="","-",+C59+1)</f>
        <v>2062</v>
      </c>
      <c r="D60" s="484">
        <f>IF(F59+SUM(E$17:E59)=D$10,F59,D$10-SUM(E$17:E59))</f>
        <v>282399.99999999726</v>
      </c>
      <c r="E60" s="485">
        <f t="shared" si="4"/>
        <v>94133.333333333328</v>
      </c>
      <c r="F60" s="486">
        <f t="shared" si="5"/>
        <v>188266.66666666395</v>
      </c>
      <c r="G60" s="487">
        <f t="shared" si="6"/>
        <v>125982.26651787499</v>
      </c>
      <c r="H60" s="456">
        <f t="shared" si="7"/>
        <v>125982.26651787499</v>
      </c>
      <c r="I60" s="476">
        <f t="shared" si="8"/>
        <v>0</v>
      </c>
      <c r="J60" s="476"/>
      <c r="K60" s="488"/>
      <c r="L60" s="479">
        <f t="shared" si="3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9"/>
        <v/>
      </c>
      <c r="C61" s="473">
        <f>IF(D11="","-",+C60+1)</f>
        <v>2063</v>
      </c>
      <c r="D61" s="484">
        <f>IF(F60+SUM(E$17:E60)=D$10,F60,D$10-SUM(E$17:E60))</f>
        <v>188266.66666666395</v>
      </c>
      <c r="E61" s="485">
        <f t="shared" si="4"/>
        <v>94133.333333333328</v>
      </c>
      <c r="F61" s="486">
        <f t="shared" si="5"/>
        <v>94133.333333330622</v>
      </c>
      <c r="G61" s="487">
        <f t="shared" si="6"/>
        <v>113242.69324405817</v>
      </c>
      <c r="H61" s="456">
        <f t="shared" si="7"/>
        <v>113242.69324405817</v>
      </c>
      <c r="I61" s="476">
        <f t="shared" si="8"/>
        <v>0</v>
      </c>
      <c r="J61" s="476"/>
      <c r="K61" s="488"/>
      <c r="L61" s="479">
        <f t="shared" si="3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9"/>
        <v/>
      </c>
      <c r="C62" s="473">
        <f>IF(D11="","-",+C61+1)</f>
        <v>2064</v>
      </c>
      <c r="D62" s="484">
        <f>IF(F61+SUM(E$17:E61)=D$10,F61,D$10-SUM(E$17:E61))</f>
        <v>94133.333333330622</v>
      </c>
      <c r="E62" s="485">
        <f t="shared" si="4"/>
        <v>94133.333333330622</v>
      </c>
      <c r="F62" s="486">
        <f t="shared" si="5"/>
        <v>0</v>
      </c>
      <c r="G62" s="487">
        <f t="shared" si="6"/>
        <v>100503.11997023884</v>
      </c>
      <c r="H62" s="456">
        <f t="shared" si="7"/>
        <v>100503.11997023884</v>
      </c>
      <c r="I62" s="476">
        <f t="shared" si="8"/>
        <v>0</v>
      </c>
      <c r="J62" s="476"/>
      <c r="K62" s="488"/>
      <c r="L62" s="479">
        <f t="shared" si="3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9"/>
        <v/>
      </c>
      <c r="C63" s="473">
        <f>IF(D11="","-",+C62+1)</f>
        <v>2065</v>
      </c>
      <c r="D63" s="484">
        <f>IF(F62+SUM(E$17:E62)=D$10,F62,D$10-SUM(E$17:E62))</f>
        <v>0</v>
      </c>
      <c r="E63" s="485">
        <f t="shared" si="4"/>
        <v>0</v>
      </c>
      <c r="F63" s="486">
        <f t="shared" si="5"/>
        <v>0</v>
      </c>
      <c r="G63" s="487">
        <f t="shared" si="6"/>
        <v>0</v>
      </c>
      <c r="H63" s="456">
        <f t="shared" si="7"/>
        <v>0</v>
      </c>
      <c r="I63" s="476">
        <f t="shared" si="8"/>
        <v>0</v>
      </c>
      <c r="J63" s="476"/>
      <c r="K63" s="488"/>
      <c r="L63" s="479">
        <f t="shared" si="3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9"/>
        <v/>
      </c>
      <c r="C64" s="473">
        <f>IF(D11="","-",+C63+1)</f>
        <v>2066</v>
      </c>
      <c r="D64" s="484">
        <f>IF(F63+SUM(E$17:E63)=D$10,F63,D$10-SUM(E$17:E63))</f>
        <v>0</v>
      </c>
      <c r="E64" s="485">
        <f t="shared" si="4"/>
        <v>0</v>
      </c>
      <c r="F64" s="486">
        <f t="shared" si="5"/>
        <v>0</v>
      </c>
      <c r="G64" s="487">
        <f t="shared" si="6"/>
        <v>0</v>
      </c>
      <c r="H64" s="456">
        <f t="shared" si="7"/>
        <v>0</v>
      </c>
      <c r="I64" s="476">
        <f t="shared" si="8"/>
        <v>0</v>
      </c>
      <c r="J64" s="476"/>
      <c r="K64" s="488"/>
      <c r="L64" s="479">
        <f t="shared" si="3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9"/>
        <v/>
      </c>
      <c r="C65" s="473">
        <f>IF(D11="","-",+C64+1)</f>
        <v>2067</v>
      </c>
      <c r="D65" s="484">
        <f>IF(F64+SUM(E$17:E64)=D$10,F64,D$10-SUM(E$17:E64))</f>
        <v>0</v>
      </c>
      <c r="E65" s="485">
        <f t="shared" si="4"/>
        <v>0</v>
      </c>
      <c r="F65" s="486">
        <f t="shared" si="5"/>
        <v>0</v>
      </c>
      <c r="G65" s="487">
        <f t="shared" si="6"/>
        <v>0</v>
      </c>
      <c r="H65" s="456">
        <f t="shared" si="7"/>
        <v>0</v>
      </c>
      <c r="I65" s="476">
        <f t="shared" si="8"/>
        <v>0</v>
      </c>
      <c r="J65" s="476"/>
      <c r="K65" s="488"/>
      <c r="L65" s="479">
        <f t="shared" si="3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9"/>
        <v/>
      </c>
      <c r="C66" s="473">
        <f>IF(D11="","-",+C65+1)</f>
        <v>2068</v>
      </c>
      <c r="D66" s="484">
        <f>IF(F65+SUM(E$17:E65)=D$10,F65,D$10-SUM(E$17:E65))</f>
        <v>0</v>
      </c>
      <c r="E66" s="485">
        <f t="shared" si="4"/>
        <v>0</v>
      </c>
      <c r="F66" s="486">
        <f t="shared" si="5"/>
        <v>0</v>
      </c>
      <c r="G66" s="487">
        <f t="shared" si="6"/>
        <v>0</v>
      </c>
      <c r="H66" s="456">
        <f t="shared" si="7"/>
        <v>0</v>
      </c>
      <c r="I66" s="476">
        <f t="shared" si="8"/>
        <v>0</v>
      </c>
      <c r="J66" s="476"/>
      <c r="K66" s="488"/>
      <c r="L66" s="479">
        <f t="shared" si="3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9"/>
        <v/>
      </c>
      <c r="C67" s="473">
        <f>IF(D11="","-",+C66+1)</f>
        <v>2069</v>
      </c>
      <c r="D67" s="484">
        <f>IF(F66+SUM(E$17:E66)=D$10,F66,D$10-SUM(E$17:E66))</f>
        <v>0</v>
      </c>
      <c r="E67" s="485">
        <f t="shared" si="4"/>
        <v>0</v>
      </c>
      <c r="F67" s="486">
        <f t="shared" si="5"/>
        <v>0</v>
      </c>
      <c r="G67" s="487">
        <f t="shared" si="6"/>
        <v>0</v>
      </c>
      <c r="H67" s="456">
        <f t="shared" si="7"/>
        <v>0</v>
      </c>
      <c r="I67" s="476">
        <f t="shared" si="8"/>
        <v>0</v>
      </c>
      <c r="J67" s="476"/>
      <c r="K67" s="488"/>
      <c r="L67" s="479">
        <f t="shared" si="3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9"/>
        <v/>
      </c>
      <c r="C68" s="473">
        <f>IF(D11="","-",+C67+1)</f>
        <v>2070</v>
      </c>
      <c r="D68" s="484">
        <f>IF(F67+SUM(E$17:E67)=D$10,F67,D$10-SUM(E$17:E67))</f>
        <v>0</v>
      </c>
      <c r="E68" s="485">
        <f t="shared" si="4"/>
        <v>0</v>
      </c>
      <c r="F68" s="486">
        <f t="shared" si="5"/>
        <v>0</v>
      </c>
      <c r="G68" s="487">
        <f t="shared" si="6"/>
        <v>0</v>
      </c>
      <c r="H68" s="456">
        <f t="shared" si="7"/>
        <v>0</v>
      </c>
      <c r="I68" s="476">
        <f t="shared" si="8"/>
        <v>0</v>
      </c>
      <c r="J68" s="476"/>
      <c r="K68" s="488"/>
      <c r="L68" s="479">
        <f t="shared" si="3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9"/>
        <v/>
      </c>
      <c r="C69" s="473">
        <f>IF(D11="","-",+C68+1)</f>
        <v>2071</v>
      </c>
      <c r="D69" s="484">
        <f>IF(F68+SUM(E$17:E68)=D$10,F68,D$10-SUM(E$17:E68))</f>
        <v>0</v>
      </c>
      <c r="E69" s="485">
        <f t="shared" si="4"/>
        <v>0</v>
      </c>
      <c r="F69" s="486">
        <f t="shared" si="5"/>
        <v>0</v>
      </c>
      <c r="G69" s="487">
        <f t="shared" si="6"/>
        <v>0</v>
      </c>
      <c r="H69" s="456">
        <f t="shared" si="7"/>
        <v>0</v>
      </c>
      <c r="I69" s="476">
        <f t="shared" si="8"/>
        <v>0</v>
      </c>
      <c r="J69" s="476"/>
      <c r="K69" s="488"/>
      <c r="L69" s="479">
        <f t="shared" si="3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9"/>
        <v/>
      </c>
      <c r="C70" s="473">
        <f>IF(D11="","-",+C69+1)</f>
        <v>2072</v>
      </c>
      <c r="D70" s="484">
        <f>IF(F69+SUM(E$17:E69)=D$10,F69,D$10-SUM(E$17:E69))</f>
        <v>0</v>
      </c>
      <c r="E70" s="485">
        <f t="shared" si="4"/>
        <v>0</v>
      </c>
      <c r="F70" s="486">
        <f t="shared" si="5"/>
        <v>0</v>
      </c>
      <c r="G70" s="487">
        <f t="shared" si="6"/>
        <v>0</v>
      </c>
      <c r="H70" s="456">
        <f t="shared" si="7"/>
        <v>0</v>
      </c>
      <c r="I70" s="476">
        <f t="shared" si="8"/>
        <v>0</v>
      </c>
      <c r="J70" s="476"/>
      <c r="K70" s="488"/>
      <c r="L70" s="479">
        <f t="shared" si="3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9"/>
        <v/>
      </c>
      <c r="C71" s="473">
        <f>IF(D11="","-",+C70+1)</f>
        <v>2073</v>
      </c>
      <c r="D71" s="484">
        <f>IF(F70+SUM(E$17:E70)=D$10,F70,D$10-SUM(E$17:E70))</f>
        <v>0</v>
      </c>
      <c r="E71" s="485">
        <f t="shared" si="4"/>
        <v>0</v>
      </c>
      <c r="F71" s="486">
        <f t="shared" si="5"/>
        <v>0</v>
      </c>
      <c r="G71" s="487">
        <f t="shared" si="6"/>
        <v>0</v>
      </c>
      <c r="H71" s="456">
        <f t="shared" si="7"/>
        <v>0</v>
      </c>
      <c r="I71" s="476">
        <f t="shared" si="8"/>
        <v>0</v>
      </c>
      <c r="J71" s="476"/>
      <c r="K71" s="488"/>
      <c r="L71" s="479">
        <f t="shared" si="3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9"/>
        <v/>
      </c>
      <c r="C72" s="490">
        <f>IF(D11="","-",+C71+1)</f>
        <v>2074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3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4236000</v>
      </c>
      <c r="F73" s="348"/>
      <c r="G73" s="348">
        <f>SUM(G17:G72)</f>
        <v>17364830.600212462</v>
      </c>
      <c r="H73" s="348">
        <f>SUM(H17:H72)</f>
        <v>17364830.600212462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27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230012.66047295602</v>
      </c>
      <c r="N87" s="509">
        <f>IF(J92&lt;D11,0,VLOOKUP(J92,C17:O72,11))</f>
        <v>230012.66047295602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260802.28471872112</v>
      </c>
      <c r="N88" s="513">
        <f>IF(J92&lt;D11,0,VLOOKUP(J92,C99:P154,7))</f>
        <v>260802.28471872112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Broken Arrow North-Lynn Lane East 138 kV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30789.624245765095</v>
      </c>
      <c r="N89" s="518">
        <f>+N88-N87</f>
        <v>30789.624245765095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TP2017016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5058522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3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123379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2019</v>
      </c>
      <c r="D99" s="347">
        <v>0</v>
      </c>
      <c r="E99" s="487">
        <f>IF(OR(D11=I10,D92&lt;100000),0,J$96/12*(12-D94))</f>
        <v>0</v>
      </c>
      <c r="F99" s="486">
        <f>IF(D93=C99,+D92-E99,+D99-E99)</f>
        <v>5058522</v>
      </c>
      <c r="G99" s="618">
        <f>+(F99+D99)/2</f>
        <v>2529261</v>
      </c>
      <c r="H99" s="618">
        <f>+J$94*G99+E99</f>
        <v>260802.28471872112</v>
      </c>
      <c r="I99" s="618">
        <f>+J$95*G99+E99</f>
        <v>260802.28471872112</v>
      </c>
      <c r="J99" s="479">
        <f>+I99-H99</f>
        <v>0</v>
      </c>
      <c r="K99" s="479"/>
      <c r="L99" s="619"/>
      <c r="M99" s="478">
        <f t="shared" ref="M99:M130" si="10">IF(L99&lt;&gt;0,+H99-L99,0)</f>
        <v>0</v>
      </c>
      <c r="N99" s="619"/>
      <c r="O99" s="478">
        <f t="shared" ref="O99:O130" si="11">IF(N99&lt;&gt;0,+I99-N99,0)</f>
        <v>0</v>
      </c>
      <c r="P99" s="478">
        <f t="shared" ref="P99:P130" si="12">+O99-M99</f>
        <v>0</v>
      </c>
    </row>
    <row r="100" spans="1:16" ht="12.5">
      <c r="B100" s="160" t="str">
        <f>IF(D100=F99,"","IU")</f>
        <v/>
      </c>
      <c r="C100" s="473">
        <f>IF(D93="","-",+C99+1)</f>
        <v>2020</v>
      </c>
      <c r="D100" s="347">
        <f>IF(F99+SUM(E$99:E99)=D$92,F99,D$92-SUM(E$99:E99))</f>
        <v>5058522</v>
      </c>
      <c r="E100" s="485">
        <f>IF(+J$96&lt;F99,J$96,D100)</f>
        <v>123379</v>
      </c>
      <c r="F100" s="486">
        <f>+D100-E100</f>
        <v>4935143</v>
      </c>
      <c r="G100" s="486">
        <f>+(F100+D100)/2</f>
        <v>4996832.5</v>
      </c>
      <c r="H100" s="614">
        <f t="shared" ref="H100:H154" si="13">+J$94*G100+E100</f>
        <v>638622.51672554121</v>
      </c>
      <c r="I100" s="615">
        <f t="shared" ref="I100:I154" si="14">+J$95*G100+E100</f>
        <v>638622.51672554121</v>
      </c>
      <c r="J100" s="479">
        <f t="shared" ref="J100:J130" si="15">+I100-H100</f>
        <v>0</v>
      </c>
      <c r="K100" s="479"/>
      <c r="L100" s="488"/>
      <c r="M100" s="479">
        <f t="shared" si="10"/>
        <v>0</v>
      </c>
      <c r="N100" s="488"/>
      <c r="O100" s="479">
        <f t="shared" si="11"/>
        <v>0</v>
      </c>
      <c r="P100" s="479">
        <f t="shared" si="12"/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2021</v>
      </c>
      <c r="D101" s="347">
        <f>IF(F100+SUM(E$99:E100)=D$92,F100,D$92-SUM(E$99:E100))</f>
        <v>4935143</v>
      </c>
      <c r="E101" s="485">
        <f t="shared" ref="E101:E154" si="17">IF(+J$96&lt;F100,J$96,D101)</f>
        <v>123379</v>
      </c>
      <c r="F101" s="486">
        <f t="shared" ref="F101:F154" si="18">+D101-E101</f>
        <v>4811764</v>
      </c>
      <c r="G101" s="486">
        <f t="shared" ref="G101:G154" si="19">+(F101+D101)/2</f>
        <v>4873453.5</v>
      </c>
      <c r="H101" s="614">
        <f t="shared" si="13"/>
        <v>625900.41130173905</v>
      </c>
      <c r="I101" s="615">
        <f t="shared" si="14"/>
        <v>625900.41130173905</v>
      </c>
      <c r="J101" s="479">
        <f t="shared" si="15"/>
        <v>0</v>
      </c>
      <c r="K101" s="479"/>
      <c r="L101" s="488"/>
      <c r="M101" s="479">
        <f t="shared" si="10"/>
        <v>0</v>
      </c>
      <c r="N101" s="488"/>
      <c r="O101" s="479">
        <f t="shared" si="11"/>
        <v>0</v>
      </c>
      <c r="P101" s="479">
        <f t="shared" si="12"/>
        <v>0</v>
      </c>
    </row>
    <row r="102" spans="1:16" ht="12.5">
      <c r="B102" s="160" t="str">
        <f t="shared" si="16"/>
        <v/>
      </c>
      <c r="C102" s="473">
        <f>IF(D93="","-",+C101+1)</f>
        <v>2022</v>
      </c>
      <c r="D102" s="347">
        <f>IF(F101+SUM(E$99:E101)=D$92,F101,D$92-SUM(E$99:E101))</f>
        <v>4811764</v>
      </c>
      <c r="E102" s="485">
        <f t="shared" si="17"/>
        <v>123379</v>
      </c>
      <c r="F102" s="486">
        <f t="shared" si="18"/>
        <v>4688385</v>
      </c>
      <c r="G102" s="486">
        <f t="shared" si="19"/>
        <v>4750074.5</v>
      </c>
      <c r="H102" s="614">
        <f t="shared" si="13"/>
        <v>613178.305877937</v>
      </c>
      <c r="I102" s="615">
        <f t="shared" si="14"/>
        <v>613178.305877937</v>
      </c>
      <c r="J102" s="479">
        <f t="shared" si="15"/>
        <v>0</v>
      </c>
      <c r="K102" s="479"/>
      <c r="L102" s="488"/>
      <c r="M102" s="479">
        <f t="shared" si="10"/>
        <v>0</v>
      </c>
      <c r="N102" s="488"/>
      <c r="O102" s="479">
        <f t="shared" si="11"/>
        <v>0</v>
      </c>
      <c r="P102" s="479">
        <f t="shared" si="12"/>
        <v>0</v>
      </c>
    </row>
    <row r="103" spans="1:16" ht="12.5">
      <c r="B103" s="160" t="str">
        <f t="shared" si="16"/>
        <v/>
      </c>
      <c r="C103" s="473">
        <f>IF(D93="","-",+C102+1)</f>
        <v>2023</v>
      </c>
      <c r="D103" s="347">
        <f>IF(F102+SUM(E$99:E102)=D$92,F102,D$92-SUM(E$99:E102))</f>
        <v>4688385</v>
      </c>
      <c r="E103" s="485">
        <f t="shared" si="17"/>
        <v>123379</v>
      </c>
      <c r="F103" s="486">
        <f t="shared" si="18"/>
        <v>4565006</v>
      </c>
      <c r="G103" s="486">
        <f t="shared" si="19"/>
        <v>4626695.5</v>
      </c>
      <c r="H103" s="614">
        <f t="shared" si="13"/>
        <v>600456.20045413496</v>
      </c>
      <c r="I103" s="615">
        <f t="shared" si="14"/>
        <v>600456.20045413496</v>
      </c>
      <c r="J103" s="479">
        <f t="shared" si="15"/>
        <v>0</v>
      </c>
      <c r="K103" s="479"/>
      <c r="L103" s="488"/>
      <c r="M103" s="479">
        <f t="shared" si="10"/>
        <v>0</v>
      </c>
      <c r="N103" s="488"/>
      <c r="O103" s="479">
        <f t="shared" si="11"/>
        <v>0</v>
      </c>
      <c r="P103" s="479">
        <f t="shared" si="12"/>
        <v>0</v>
      </c>
    </row>
    <row r="104" spans="1:16" ht="12.5">
      <c r="B104" s="160" t="str">
        <f t="shared" si="16"/>
        <v/>
      </c>
      <c r="C104" s="473">
        <f>IF(D93="","-",+C103+1)</f>
        <v>2024</v>
      </c>
      <c r="D104" s="347">
        <f>IF(F103+SUM(E$99:E103)=D$92,F103,D$92-SUM(E$99:E103))</f>
        <v>4565006</v>
      </c>
      <c r="E104" s="485">
        <f t="shared" si="17"/>
        <v>123379</v>
      </c>
      <c r="F104" s="486">
        <f t="shared" si="18"/>
        <v>4441627</v>
      </c>
      <c r="G104" s="486">
        <f t="shared" si="19"/>
        <v>4503316.5</v>
      </c>
      <c r="H104" s="614">
        <f t="shared" si="13"/>
        <v>587734.09503033292</v>
      </c>
      <c r="I104" s="615">
        <f t="shared" si="14"/>
        <v>587734.09503033292</v>
      </c>
      <c r="J104" s="479">
        <f t="shared" si="15"/>
        <v>0</v>
      </c>
      <c r="K104" s="479"/>
      <c r="L104" s="488"/>
      <c r="M104" s="479">
        <f t="shared" si="10"/>
        <v>0</v>
      </c>
      <c r="N104" s="488"/>
      <c r="O104" s="479">
        <f t="shared" si="11"/>
        <v>0</v>
      </c>
      <c r="P104" s="479">
        <f t="shared" si="12"/>
        <v>0</v>
      </c>
    </row>
    <row r="105" spans="1:16" ht="12.5">
      <c r="B105" s="160" t="str">
        <f t="shared" si="16"/>
        <v/>
      </c>
      <c r="C105" s="473">
        <f>IF(D93="","-",+C104+1)</f>
        <v>2025</v>
      </c>
      <c r="D105" s="347">
        <f>IF(F104+SUM(E$99:E104)=D$92,F104,D$92-SUM(E$99:E104))</f>
        <v>4441627</v>
      </c>
      <c r="E105" s="485">
        <f t="shared" si="17"/>
        <v>123379</v>
      </c>
      <c r="F105" s="486">
        <f t="shared" si="18"/>
        <v>4318248</v>
      </c>
      <c r="G105" s="486">
        <f t="shared" si="19"/>
        <v>4379937.5</v>
      </c>
      <c r="H105" s="614">
        <f t="shared" si="13"/>
        <v>575011.98960653075</v>
      </c>
      <c r="I105" s="615">
        <f t="shared" si="14"/>
        <v>575011.98960653075</v>
      </c>
      <c r="J105" s="479">
        <f t="shared" si="15"/>
        <v>0</v>
      </c>
      <c r="K105" s="479"/>
      <c r="L105" s="488"/>
      <c r="M105" s="479">
        <f t="shared" si="10"/>
        <v>0</v>
      </c>
      <c r="N105" s="488"/>
      <c r="O105" s="479">
        <f t="shared" si="11"/>
        <v>0</v>
      </c>
      <c r="P105" s="479">
        <f t="shared" si="12"/>
        <v>0</v>
      </c>
    </row>
    <row r="106" spans="1:16" ht="12.5">
      <c r="B106" s="160" t="str">
        <f t="shared" si="16"/>
        <v/>
      </c>
      <c r="C106" s="473">
        <f>IF(D93="","-",+C105+1)</f>
        <v>2026</v>
      </c>
      <c r="D106" s="347">
        <f>IF(F105+SUM(E$99:E105)=D$92,F105,D$92-SUM(E$99:E105))</f>
        <v>4318248</v>
      </c>
      <c r="E106" s="485">
        <f t="shared" si="17"/>
        <v>123379</v>
      </c>
      <c r="F106" s="486">
        <f t="shared" si="18"/>
        <v>4194869</v>
      </c>
      <c r="G106" s="486">
        <f t="shared" si="19"/>
        <v>4256558.5</v>
      </c>
      <c r="H106" s="614">
        <f t="shared" si="13"/>
        <v>562289.88418272859</v>
      </c>
      <c r="I106" s="615">
        <f t="shared" si="14"/>
        <v>562289.88418272859</v>
      </c>
      <c r="J106" s="479">
        <f t="shared" si="15"/>
        <v>0</v>
      </c>
      <c r="K106" s="479"/>
      <c r="L106" s="488"/>
      <c r="M106" s="479">
        <f t="shared" si="10"/>
        <v>0</v>
      </c>
      <c r="N106" s="488"/>
      <c r="O106" s="479">
        <f t="shared" si="11"/>
        <v>0</v>
      </c>
      <c r="P106" s="479">
        <f t="shared" si="12"/>
        <v>0</v>
      </c>
    </row>
    <row r="107" spans="1:16" ht="12.5">
      <c r="B107" s="160" t="str">
        <f t="shared" si="16"/>
        <v/>
      </c>
      <c r="C107" s="473">
        <f>IF(D93="","-",+C106+1)</f>
        <v>2027</v>
      </c>
      <c r="D107" s="347">
        <f>IF(F106+SUM(E$99:E106)=D$92,F106,D$92-SUM(E$99:E106))</f>
        <v>4194869</v>
      </c>
      <c r="E107" s="485">
        <f t="shared" si="17"/>
        <v>123379</v>
      </c>
      <c r="F107" s="486">
        <f t="shared" si="18"/>
        <v>4071490</v>
      </c>
      <c r="G107" s="486">
        <f t="shared" si="19"/>
        <v>4133179.5</v>
      </c>
      <c r="H107" s="614">
        <f t="shared" si="13"/>
        <v>549567.77875892655</v>
      </c>
      <c r="I107" s="615">
        <f t="shared" si="14"/>
        <v>549567.77875892655</v>
      </c>
      <c r="J107" s="479">
        <f t="shared" si="15"/>
        <v>0</v>
      </c>
      <c r="K107" s="479"/>
      <c r="L107" s="488"/>
      <c r="M107" s="479">
        <f t="shared" si="10"/>
        <v>0</v>
      </c>
      <c r="N107" s="488"/>
      <c r="O107" s="479">
        <f t="shared" si="11"/>
        <v>0</v>
      </c>
      <c r="P107" s="479">
        <f t="shared" si="12"/>
        <v>0</v>
      </c>
    </row>
    <row r="108" spans="1:16" ht="12.5">
      <c r="B108" s="160" t="str">
        <f t="shared" si="16"/>
        <v/>
      </c>
      <c r="C108" s="473">
        <f>IF(D93="","-",+C107+1)</f>
        <v>2028</v>
      </c>
      <c r="D108" s="347">
        <f>IF(F107+SUM(E$99:E107)=D$92,F107,D$92-SUM(E$99:E107))</f>
        <v>4071490</v>
      </c>
      <c r="E108" s="485">
        <f t="shared" si="17"/>
        <v>123379</v>
      </c>
      <c r="F108" s="486">
        <f t="shared" si="18"/>
        <v>3948111</v>
      </c>
      <c r="G108" s="486">
        <f t="shared" si="19"/>
        <v>4009800.5</v>
      </c>
      <c r="H108" s="614">
        <f t="shared" si="13"/>
        <v>536845.67333512451</v>
      </c>
      <c r="I108" s="615">
        <f t="shared" si="14"/>
        <v>536845.67333512451</v>
      </c>
      <c r="J108" s="479">
        <f t="shared" si="15"/>
        <v>0</v>
      </c>
      <c r="K108" s="479"/>
      <c r="L108" s="488"/>
      <c r="M108" s="479">
        <f t="shared" si="10"/>
        <v>0</v>
      </c>
      <c r="N108" s="488"/>
      <c r="O108" s="479">
        <f t="shared" si="11"/>
        <v>0</v>
      </c>
      <c r="P108" s="479">
        <f t="shared" si="12"/>
        <v>0</v>
      </c>
    </row>
    <row r="109" spans="1:16" ht="12.5">
      <c r="B109" s="160" t="str">
        <f t="shared" si="16"/>
        <v/>
      </c>
      <c r="C109" s="473">
        <f>IF(D93="","-",+C108+1)</f>
        <v>2029</v>
      </c>
      <c r="D109" s="347">
        <f>IF(F108+SUM(E$99:E108)=D$92,F108,D$92-SUM(E$99:E108))</f>
        <v>3948111</v>
      </c>
      <c r="E109" s="485">
        <f t="shared" si="17"/>
        <v>123379</v>
      </c>
      <c r="F109" s="486">
        <f t="shared" si="18"/>
        <v>3824732</v>
      </c>
      <c r="G109" s="486">
        <f t="shared" si="19"/>
        <v>3886421.5</v>
      </c>
      <c r="H109" s="614">
        <f t="shared" si="13"/>
        <v>524123.5679113224</v>
      </c>
      <c r="I109" s="615">
        <f t="shared" si="14"/>
        <v>524123.5679113224</v>
      </c>
      <c r="J109" s="479">
        <f t="shared" si="15"/>
        <v>0</v>
      </c>
      <c r="K109" s="479"/>
      <c r="L109" s="488"/>
      <c r="M109" s="479">
        <f t="shared" si="10"/>
        <v>0</v>
      </c>
      <c r="N109" s="488"/>
      <c r="O109" s="479">
        <f t="shared" si="11"/>
        <v>0</v>
      </c>
      <c r="P109" s="479">
        <f t="shared" si="12"/>
        <v>0</v>
      </c>
    </row>
    <row r="110" spans="1:16" ht="12.5">
      <c r="B110" s="160" t="str">
        <f t="shared" si="16"/>
        <v/>
      </c>
      <c r="C110" s="473">
        <f>IF(D93="","-",+C109+1)</f>
        <v>2030</v>
      </c>
      <c r="D110" s="347">
        <f>IF(F109+SUM(E$99:E109)=D$92,F109,D$92-SUM(E$99:E109))</f>
        <v>3824732</v>
      </c>
      <c r="E110" s="485">
        <f t="shared" si="17"/>
        <v>123379</v>
      </c>
      <c r="F110" s="486">
        <f t="shared" si="18"/>
        <v>3701353</v>
      </c>
      <c r="G110" s="486">
        <f t="shared" si="19"/>
        <v>3763042.5</v>
      </c>
      <c r="H110" s="614">
        <f t="shared" si="13"/>
        <v>511401.4624875203</v>
      </c>
      <c r="I110" s="615">
        <f t="shared" si="14"/>
        <v>511401.4624875203</v>
      </c>
      <c r="J110" s="479">
        <f t="shared" si="15"/>
        <v>0</v>
      </c>
      <c r="K110" s="479"/>
      <c r="L110" s="488"/>
      <c r="M110" s="479">
        <f t="shared" si="10"/>
        <v>0</v>
      </c>
      <c r="N110" s="488"/>
      <c r="O110" s="479">
        <f t="shared" si="11"/>
        <v>0</v>
      </c>
      <c r="P110" s="479">
        <f t="shared" si="12"/>
        <v>0</v>
      </c>
    </row>
    <row r="111" spans="1:16" ht="12.5">
      <c r="B111" s="160" t="str">
        <f t="shared" si="16"/>
        <v/>
      </c>
      <c r="C111" s="473">
        <f>IF(D93="","-",+C110+1)</f>
        <v>2031</v>
      </c>
      <c r="D111" s="347">
        <f>IF(F110+SUM(E$99:E110)=D$92,F110,D$92-SUM(E$99:E110))</f>
        <v>3701353</v>
      </c>
      <c r="E111" s="485">
        <f t="shared" si="17"/>
        <v>123379</v>
      </c>
      <c r="F111" s="486">
        <f t="shared" si="18"/>
        <v>3577974</v>
      </c>
      <c r="G111" s="486">
        <f t="shared" si="19"/>
        <v>3639663.5</v>
      </c>
      <c r="H111" s="614">
        <f t="shared" si="13"/>
        <v>498679.35706371826</v>
      </c>
      <c r="I111" s="615">
        <f t="shared" si="14"/>
        <v>498679.35706371826</v>
      </c>
      <c r="J111" s="479">
        <f t="shared" si="15"/>
        <v>0</v>
      </c>
      <c r="K111" s="479"/>
      <c r="L111" s="488"/>
      <c r="M111" s="479">
        <f t="shared" si="10"/>
        <v>0</v>
      </c>
      <c r="N111" s="488"/>
      <c r="O111" s="479">
        <f t="shared" si="11"/>
        <v>0</v>
      </c>
      <c r="P111" s="479">
        <f t="shared" si="12"/>
        <v>0</v>
      </c>
    </row>
    <row r="112" spans="1:16" ht="12.5">
      <c r="B112" s="160" t="str">
        <f t="shared" si="16"/>
        <v/>
      </c>
      <c r="C112" s="473">
        <f>IF(D93="","-",+C111+1)</f>
        <v>2032</v>
      </c>
      <c r="D112" s="347">
        <f>IF(F111+SUM(E$99:E111)=D$92,F111,D$92-SUM(E$99:E111))</f>
        <v>3577974</v>
      </c>
      <c r="E112" s="485">
        <f t="shared" si="17"/>
        <v>123379</v>
      </c>
      <c r="F112" s="486">
        <f t="shared" si="18"/>
        <v>3454595</v>
      </c>
      <c r="G112" s="486">
        <f t="shared" si="19"/>
        <v>3516284.5</v>
      </c>
      <c r="H112" s="614">
        <f t="shared" si="13"/>
        <v>485957.25163991615</v>
      </c>
      <c r="I112" s="615">
        <f t="shared" si="14"/>
        <v>485957.25163991615</v>
      </c>
      <c r="J112" s="479">
        <f t="shared" si="15"/>
        <v>0</v>
      </c>
      <c r="K112" s="479"/>
      <c r="L112" s="488"/>
      <c r="M112" s="479">
        <f t="shared" si="10"/>
        <v>0</v>
      </c>
      <c r="N112" s="488"/>
      <c r="O112" s="479">
        <f t="shared" si="11"/>
        <v>0</v>
      </c>
      <c r="P112" s="479">
        <f t="shared" si="12"/>
        <v>0</v>
      </c>
    </row>
    <row r="113" spans="2:16" ht="12.5">
      <c r="B113" s="160" t="str">
        <f t="shared" si="16"/>
        <v/>
      </c>
      <c r="C113" s="473">
        <f>IF(D93="","-",+C112+1)</f>
        <v>2033</v>
      </c>
      <c r="D113" s="347">
        <f>IF(F112+SUM(E$99:E112)=D$92,F112,D$92-SUM(E$99:E112))</f>
        <v>3454595</v>
      </c>
      <c r="E113" s="485">
        <f t="shared" si="17"/>
        <v>123379</v>
      </c>
      <c r="F113" s="486">
        <f t="shared" si="18"/>
        <v>3331216</v>
      </c>
      <c r="G113" s="486">
        <f t="shared" si="19"/>
        <v>3392905.5</v>
      </c>
      <c r="H113" s="614">
        <f t="shared" si="13"/>
        <v>473235.14621611405</v>
      </c>
      <c r="I113" s="615">
        <f t="shared" si="14"/>
        <v>473235.14621611405</v>
      </c>
      <c r="J113" s="479">
        <f t="shared" si="15"/>
        <v>0</v>
      </c>
      <c r="K113" s="479"/>
      <c r="L113" s="488"/>
      <c r="M113" s="479">
        <f t="shared" si="10"/>
        <v>0</v>
      </c>
      <c r="N113" s="488"/>
      <c r="O113" s="479">
        <f t="shared" si="11"/>
        <v>0</v>
      </c>
      <c r="P113" s="479">
        <f t="shared" si="12"/>
        <v>0</v>
      </c>
    </row>
    <row r="114" spans="2:16" ht="12.5">
      <c r="B114" s="160" t="str">
        <f t="shared" si="16"/>
        <v/>
      </c>
      <c r="C114" s="473">
        <f>IF(D93="","-",+C113+1)</f>
        <v>2034</v>
      </c>
      <c r="D114" s="347">
        <f>IF(F113+SUM(E$99:E113)=D$92,F113,D$92-SUM(E$99:E113))</f>
        <v>3331216</v>
      </c>
      <c r="E114" s="485">
        <f t="shared" si="17"/>
        <v>123379</v>
      </c>
      <c r="F114" s="486">
        <f t="shared" si="18"/>
        <v>3207837</v>
      </c>
      <c r="G114" s="486">
        <f t="shared" si="19"/>
        <v>3269526.5</v>
      </c>
      <c r="H114" s="614">
        <f t="shared" si="13"/>
        <v>460513.04079231195</v>
      </c>
      <c r="I114" s="615">
        <f t="shared" si="14"/>
        <v>460513.04079231195</v>
      </c>
      <c r="J114" s="479">
        <f t="shared" si="15"/>
        <v>0</v>
      </c>
      <c r="K114" s="479"/>
      <c r="L114" s="488"/>
      <c r="M114" s="479">
        <f t="shared" si="10"/>
        <v>0</v>
      </c>
      <c r="N114" s="488"/>
      <c r="O114" s="479">
        <f t="shared" si="11"/>
        <v>0</v>
      </c>
      <c r="P114" s="479">
        <f t="shared" si="12"/>
        <v>0</v>
      </c>
    </row>
    <row r="115" spans="2:16" ht="12.5">
      <c r="B115" s="160" t="str">
        <f t="shared" si="16"/>
        <v/>
      </c>
      <c r="C115" s="473">
        <f>IF(D93="","-",+C114+1)</f>
        <v>2035</v>
      </c>
      <c r="D115" s="347">
        <f>IF(F114+SUM(E$99:E114)=D$92,F114,D$92-SUM(E$99:E114))</f>
        <v>3207837</v>
      </c>
      <c r="E115" s="485">
        <f t="shared" si="17"/>
        <v>123379</v>
      </c>
      <c r="F115" s="486">
        <f t="shared" si="18"/>
        <v>3084458</v>
      </c>
      <c r="G115" s="486">
        <f t="shared" si="19"/>
        <v>3146147.5</v>
      </c>
      <c r="H115" s="614">
        <f t="shared" si="13"/>
        <v>447790.9353685099</v>
      </c>
      <c r="I115" s="615">
        <f t="shared" si="14"/>
        <v>447790.9353685099</v>
      </c>
      <c r="J115" s="479">
        <f t="shared" si="15"/>
        <v>0</v>
      </c>
      <c r="K115" s="479"/>
      <c r="L115" s="488"/>
      <c r="M115" s="479">
        <f t="shared" si="10"/>
        <v>0</v>
      </c>
      <c r="N115" s="488"/>
      <c r="O115" s="479">
        <f t="shared" si="11"/>
        <v>0</v>
      </c>
      <c r="P115" s="479">
        <f t="shared" si="12"/>
        <v>0</v>
      </c>
    </row>
    <row r="116" spans="2:16" ht="12.5">
      <c r="B116" s="160" t="str">
        <f t="shared" si="16"/>
        <v/>
      </c>
      <c r="C116" s="473">
        <f>IF(D93="","-",+C115+1)</f>
        <v>2036</v>
      </c>
      <c r="D116" s="347">
        <f>IF(F115+SUM(E$99:E115)=D$92,F115,D$92-SUM(E$99:E115))</f>
        <v>3084458</v>
      </c>
      <c r="E116" s="485">
        <f t="shared" si="17"/>
        <v>123379</v>
      </c>
      <c r="F116" s="486">
        <f t="shared" si="18"/>
        <v>2961079</v>
      </c>
      <c r="G116" s="486">
        <f t="shared" si="19"/>
        <v>3022768.5</v>
      </c>
      <c r="H116" s="614">
        <f t="shared" si="13"/>
        <v>435068.8299447078</v>
      </c>
      <c r="I116" s="615">
        <f t="shared" si="14"/>
        <v>435068.8299447078</v>
      </c>
      <c r="J116" s="479">
        <f t="shared" si="15"/>
        <v>0</v>
      </c>
      <c r="K116" s="479"/>
      <c r="L116" s="488"/>
      <c r="M116" s="479">
        <f t="shared" si="10"/>
        <v>0</v>
      </c>
      <c r="N116" s="488"/>
      <c r="O116" s="479">
        <f t="shared" si="11"/>
        <v>0</v>
      </c>
      <c r="P116" s="479">
        <f t="shared" si="12"/>
        <v>0</v>
      </c>
    </row>
    <row r="117" spans="2:16" ht="12.5">
      <c r="B117" s="160" t="str">
        <f t="shared" si="16"/>
        <v/>
      </c>
      <c r="C117" s="473">
        <f>IF(D93="","-",+C116+1)</f>
        <v>2037</v>
      </c>
      <c r="D117" s="347">
        <f>IF(F116+SUM(E$99:E116)=D$92,F116,D$92-SUM(E$99:E116))</f>
        <v>2961079</v>
      </c>
      <c r="E117" s="485">
        <f t="shared" si="17"/>
        <v>123379</v>
      </c>
      <c r="F117" s="486">
        <f t="shared" si="18"/>
        <v>2837700</v>
      </c>
      <c r="G117" s="486">
        <f t="shared" si="19"/>
        <v>2899389.5</v>
      </c>
      <c r="H117" s="614">
        <f t="shared" si="13"/>
        <v>422346.7245209057</v>
      </c>
      <c r="I117" s="615">
        <f t="shared" si="14"/>
        <v>422346.7245209057</v>
      </c>
      <c r="J117" s="479">
        <f t="shared" si="15"/>
        <v>0</v>
      </c>
      <c r="K117" s="479"/>
      <c r="L117" s="488"/>
      <c r="M117" s="479">
        <f t="shared" si="10"/>
        <v>0</v>
      </c>
      <c r="N117" s="488"/>
      <c r="O117" s="479">
        <f t="shared" si="11"/>
        <v>0</v>
      </c>
      <c r="P117" s="479">
        <f t="shared" si="12"/>
        <v>0</v>
      </c>
    </row>
    <row r="118" spans="2:16" ht="12.5">
      <c r="B118" s="160" t="str">
        <f t="shared" si="16"/>
        <v/>
      </c>
      <c r="C118" s="473">
        <f>IF(D93="","-",+C117+1)</f>
        <v>2038</v>
      </c>
      <c r="D118" s="347">
        <f>IF(F117+SUM(E$99:E117)=D$92,F117,D$92-SUM(E$99:E117))</f>
        <v>2837700</v>
      </c>
      <c r="E118" s="485">
        <f t="shared" si="17"/>
        <v>123379</v>
      </c>
      <c r="F118" s="486">
        <f t="shared" si="18"/>
        <v>2714321</v>
      </c>
      <c r="G118" s="486">
        <f t="shared" si="19"/>
        <v>2776010.5</v>
      </c>
      <c r="H118" s="614">
        <f t="shared" si="13"/>
        <v>409624.6190971036</v>
      </c>
      <c r="I118" s="615">
        <f t="shared" si="14"/>
        <v>409624.6190971036</v>
      </c>
      <c r="J118" s="479">
        <f t="shared" si="15"/>
        <v>0</v>
      </c>
      <c r="K118" s="479"/>
      <c r="L118" s="488"/>
      <c r="M118" s="479">
        <f t="shared" si="10"/>
        <v>0</v>
      </c>
      <c r="N118" s="488"/>
      <c r="O118" s="479">
        <f t="shared" si="11"/>
        <v>0</v>
      </c>
      <c r="P118" s="479">
        <f t="shared" si="12"/>
        <v>0</v>
      </c>
    </row>
    <row r="119" spans="2:16" ht="12.5">
      <c r="B119" s="160" t="str">
        <f t="shared" si="16"/>
        <v/>
      </c>
      <c r="C119" s="473">
        <f>IF(D93="","-",+C118+1)</f>
        <v>2039</v>
      </c>
      <c r="D119" s="347">
        <f>IF(F118+SUM(E$99:E118)=D$92,F118,D$92-SUM(E$99:E118))</f>
        <v>2714321</v>
      </c>
      <c r="E119" s="485">
        <f t="shared" si="17"/>
        <v>123379</v>
      </c>
      <c r="F119" s="486">
        <f t="shared" si="18"/>
        <v>2590942</v>
      </c>
      <c r="G119" s="486">
        <f t="shared" si="19"/>
        <v>2652631.5</v>
      </c>
      <c r="H119" s="614">
        <f t="shared" si="13"/>
        <v>396902.51367330155</v>
      </c>
      <c r="I119" s="615">
        <f t="shared" si="14"/>
        <v>396902.51367330155</v>
      </c>
      <c r="J119" s="479">
        <f t="shared" si="15"/>
        <v>0</v>
      </c>
      <c r="K119" s="479"/>
      <c r="L119" s="488"/>
      <c r="M119" s="479">
        <f t="shared" si="10"/>
        <v>0</v>
      </c>
      <c r="N119" s="488"/>
      <c r="O119" s="479">
        <f t="shared" si="11"/>
        <v>0</v>
      </c>
      <c r="P119" s="479">
        <f t="shared" si="12"/>
        <v>0</v>
      </c>
    </row>
    <row r="120" spans="2:16" ht="12.5">
      <c r="B120" s="160" t="str">
        <f t="shared" si="16"/>
        <v/>
      </c>
      <c r="C120" s="473">
        <f>IF(D93="","-",+C119+1)</f>
        <v>2040</v>
      </c>
      <c r="D120" s="347">
        <f>IF(F119+SUM(E$99:E119)=D$92,F119,D$92-SUM(E$99:E119))</f>
        <v>2590942</v>
      </c>
      <c r="E120" s="485">
        <f t="shared" si="17"/>
        <v>123379</v>
      </c>
      <c r="F120" s="486">
        <f t="shared" si="18"/>
        <v>2467563</v>
      </c>
      <c r="G120" s="486">
        <f t="shared" si="19"/>
        <v>2529252.5</v>
      </c>
      <c r="H120" s="614">
        <f t="shared" si="13"/>
        <v>384180.40824949945</v>
      </c>
      <c r="I120" s="615">
        <f t="shared" si="14"/>
        <v>384180.40824949945</v>
      </c>
      <c r="J120" s="479">
        <f t="shared" si="15"/>
        <v>0</v>
      </c>
      <c r="K120" s="479"/>
      <c r="L120" s="488"/>
      <c r="M120" s="479">
        <f t="shared" si="10"/>
        <v>0</v>
      </c>
      <c r="N120" s="488"/>
      <c r="O120" s="479">
        <f t="shared" si="11"/>
        <v>0</v>
      </c>
      <c r="P120" s="479">
        <f t="shared" si="12"/>
        <v>0</v>
      </c>
    </row>
    <row r="121" spans="2:16" ht="12.5">
      <c r="B121" s="160" t="str">
        <f t="shared" si="16"/>
        <v/>
      </c>
      <c r="C121" s="473">
        <f>IF(D93="","-",+C120+1)</f>
        <v>2041</v>
      </c>
      <c r="D121" s="347">
        <f>IF(F120+SUM(E$99:E120)=D$92,F120,D$92-SUM(E$99:E120))</f>
        <v>2467563</v>
      </c>
      <c r="E121" s="485">
        <f t="shared" si="17"/>
        <v>123379</v>
      </c>
      <c r="F121" s="486">
        <f t="shared" si="18"/>
        <v>2344184</v>
      </c>
      <c r="G121" s="486">
        <f t="shared" si="19"/>
        <v>2405873.5</v>
      </c>
      <c r="H121" s="614">
        <f t="shared" si="13"/>
        <v>371458.30282569735</v>
      </c>
      <c r="I121" s="615">
        <f t="shared" si="14"/>
        <v>371458.30282569735</v>
      </c>
      <c r="J121" s="479">
        <f t="shared" si="15"/>
        <v>0</v>
      </c>
      <c r="K121" s="479"/>
      <c r="L121" s="488"/>
      <c r="M121" s="479">
        <f t="shared" si="10"/>
        <v>0</v>
      </c>
      <c r="N121" s="488"/>
      <c r="O121" s="479">
        <f t="shared" si="11"/>
        <v>0</v>
      </c>
      <c r="P121" s="479">
        <f t="shared" si="12"/>
        <v>0</v>
      </c>
    </row>
    <row r="122" spans="2:16" ht="12.5">
      <c r="B122" s="160" t="str">
        <f t="shared" si="16"/>
        <v/>
      </c>
      <c r="C122" s="473">
        <f>IF(D93="","-",+C121+1)</f>
        <v>2042</v>
      </c>
      <c r="D122" s="347">
        <f>IF(F121+SUM(E$99:E121)=D$92,F121,D$92-SUM(E$99:E121))</f>
        <v>2344184</v>
      </c>
      <c r="E122" s="485">
        <f t="shared" si="17"/>
        <v>123379</v>
      </c>
      <c r="F122" s="486">
        <f t="shared" si="18"/>
        <v>2220805</v>
      </c>
      <c r="G122" s="486">
        <f t="shared" si="19"/>
        <v>2282494.5</v>
      </c>
      <c r="H122" s="614">
        <f t="shared" si="13"/>
        <v>358736.19740189525</v>
      </c>
      <c r="I122" s="615">
        <f t="shared" si="14"/>
        <v>358736.19740189525</v>
      </c>
      <c r="J122" s="479">
        <f t="shared" si="15"/>
        <v>0</v>
      </c>
      <c r="K122" s="479"/>
      <c r="L122" s="488"/>
      <c r="M122" s="479">
        <f t="shared" si="10"/>
        <v>0</v>
      </c>
      <c r="N122" s="488"/>
      <c r="O122" s="479">
        <f t="shared" si="11"/>
        <v>0</v>
      </c>
      <c r="P122" s="479">
        <f t="shared" si="12"/>
        <v>0</v>
      </c>
    </row>
    <row r="123" spans="2:16" ht="12.5">
      <c r="B123" s="160" t="str">
        <f t="shared" si="16"/>
        <v/>
      </c>
      <c r="C123" s="473">
        <f>IF(D93="","-",+C122+1)</f>
        <v>2043</v>
      </c>
      <c r="D123" s="347">
        <f>IF(F122+SUM(E$99:E122)=D$92,F122,D$92-SUM(E$99:E122))</f>
        <v>2220805</v>
      </c>
      <c r="E123" s="485">
        <f t="shared" si="17"/>
        <v>123379</v>
      </c>
      <c r="F123" s="486">
        <f t="shared" si="18"/>
        <v>2097426</v>
      </c>
      <c r="G123" s="486">
        <f t="shared" si="19"/>
        <v>2159115.5</v>
      </c>
      <c r="H123" s="614">
        <f t="shared" si="13"/>
        <v>346014.09197809314</v>
      </c>
      <c r="I123" s="615">
        <f t="shared" si="14"/>
        <v>346014.09197809314</v>
      </c>
      <c r="J123" s="479">
        <f t="shared" si="15"/>
        <v>0</v>
      </c>
      <c r="K123" s="479"/>
      <c r="L123" s="488"/>
      <c r="M123" s="479">
        <f t="shared" si="10"/>
        <v>0</v>
      </c>
      <c r="N123" s="488"/>
      <c r="O123" s="479">
        <f t="shared" si="11"/>
        <v>0</v>
      </c>
      <c r="P123" s="479">
        <f t="shared" si="12"/>
        <v>0</v>
      </c>
    </row>
    <row r="124" spans="2:16" ht="12.5">
      <c r="B124" s="160" t="str">
        <f t="shared" si="16"/>
        <v/>
      </c>
      <c r="C124" s="473">
        <f>IF(D93="","-",+C123+1)</f>
        <v>2044</v>
      </c>
      <c r="D124" s="347">
        <f>IF(F123+SUM(E$99:E123)=D$92,F123,D$92-SUM(E$99:E123))</f>
        <v>2097426</v>
      </c>
      <c r="E124" s="485">
        <f t="shared" si="17"/>
        <v>123379</v>
      </c>
      <c r="F124" s="486">
        <f t="shared" si="18"/>
        <v>1974047</v>
      </c>
      <c r="G124" s="486">
        <f t="shared" si="19"/>
        <v>2035736.5</v>
      </c>
      <c r="H124" s="614">
        <f t="shared" si="13"/>
        <v>333291.9865542911</v>
      </c>
      <c r="I124" s="615">
        <f t="shared" si="14"/>
        <v>333291.9865542911</v>
      </c>
      <c r="J124" s="479">
        <f t="shared" si="15"/>
        <v>0</v>
      </c>
      <c r="K124" s="479"/>
      <c r="L124" s="488"/>
      <c r="M124" s="479">
        <f t="shared" si="10"/>
        <v>0</v>
      </c>
      <c r="N124" s="488"/>
      <c r="O124" s="479">
        <f t="shared" si="11"/>
        <v>0</v>
      </c>
      <c r="P124" s="479">
        <f t="shared" si="12"/>
        <v>0</v>
      </c>
    </row>
    <row r="125" spans="2:16" ht="12.5">
      <c r="B125" s="160" t="str">
        <f t="shared" si="16"/>
        <v/>
      </c>
      <c r="C125" s="473">
        <f>IF(D93="","-",+C124+1)</f>
        <v>2045</v>
      </c>
      <c r="D125" s="347">
        <f>IF(F124+SUM(E$99:E124)=D$92,F124,D$92-SUM(E$99:E124))</f>
        <v>1974047</v>
      </c>
      <c r="E125" s="485">
        <f t="shared" si="17"/>
        <v>123379</v>
      </c>
      <c r="F125" s="486">
        <f t="shared" si="18"/>
        <v>1850668</v>
      </c>
      <c r="G125" s="486">
        <f t="shared" si="19"/>
        <v>1912357.5</v>
      </c>
      <c r="H125" s="614">
        <f t="shared" si="13"/>
        <v>320569.881130489</v>
      </c>
      <c r="I125" s="615">
        <f t="shared" si="14"/>
        <v>320569.881130489</v>
      </c>
      <c r="J125" s="479">
        <f t="shared" si="15"/>
        <v>0</v>
      </c>
      <c r="K125" s="479"/>
      <c r="L125" s="488"/>
      <c r="M125" s="479">
        <f t="shared" si="10"/>
        <v>0</v>
      </c>
      <c r="N125" s="488"/>
      <c r="O125" s="479">
        <f t="shared" si="11"/>
        <v>0</v>
      </c>
      <c r="P125" s="479">
        <f t="shared" si="12"/>
        <v>0</v>
      </c>
    </row>
    <row r="126" spans="2:16" ht="12.5">
      <c r="B126" s="160" t="str">
        <f t="shared" si="16"/>
        <v/>
      </c>
      <c r="C126" s="473">
        <f>IF(D93="","-",+C125+1)</f>
        <v>2046</v>
      </c>
      <c r="D126" s="347">
        <f>IF(F125+SUM(E$99:E125)=D$92,F125,D$92-SUM(E$99:E125))</f>
        <v>1850668</v>
      </c>
      <c r="E126" s="485">
        <f t="shared" si="17"/>
        <v>123379</v>
      </c>
      <c r="F126" s="486">
        <f t="shared" si="18"/>
        <v>1727289</v>
      </c>
      <c r="G126" s="486">
        <f t="shared" si="19"/>
        <v>1788978.5</v>
      </c>
      <c r="H126" s="614">
        <f t="shared" si="13"/>
        <v>307847.77570668689</v>
      </c>
      <c r="I126" s="615">
        <f t="shared" si="14"/>
        <v>307847.77570668689</v>
      </c>
      <c r="J126" s="479">
        <f t="shared" si="15"/>
        <v>0</v>
      </c>
      <c r="K126" s="479"/>
      <c r="L126" s="488"/>
      <c r="M126" s="479">
        <f t="shared" si="10"/>
        <v>0</v>
      </c>
      <c r="N126" s="488"/>
      <c r="O126" s="479">
        <f t="shared" si="11"/>
        <v>0</v>
      </c>
      <c r="P126" s="479">
        <f t="shared" si="12"/>
        <v>0</v>
      </c>
    </row>
    <row r="127" spans="2:16" ht="12.5">
      <c r="B127" s="160" t="str">
        <f t="shared" si="16"/>
        <v/>
      </c>
      <c r="C127" s="473">
        <f>IF(D93="","-",+C126+1)</f>
        <v>2047</v>
      </c>
      <c r="D127" s="347">
        <f>IF(F126+SUM(E$99:E126)=D$92,F126,D$92-SUM(E$99:E126))</f>
        <v>1727289</v>
      </c>
      <c r="E127" s="485">
        <f t="shared" si="17"/>
        <v>123379</v>
      </c>
      <c r="F127" s="486">
        <f t="shared" si="18"/>
        <v>1603910</v>
      </c>
      <c r="G127" s="486">
        <f t="shared" si="19"/>
        <v>1665599.5</v>
      </c>
      <c r="H127" s="614">
        <f t="shared" si="13"/>
        <v>295125.67028288485</v>
      </c>
      <c r="I127" s="615">
        <f t="shared" si="14"/>
        <v>295125.67028288485</v>
      </c>
      <c r="J127" s="479">
        <f t="shared" si="15"/>
        <v>0</v>
      </c>
      <c r="K127" s="479"/>
      <c r="L127" s="488"/>
      <c r="M127" s="479">
        <f t="shared" si="10"/>
        <v>0</v>
      </c>
      <c r="N127" s="488"/>
      <c r="O127" s="479">
        <f t="shared" si="11"/>
        <v>0</v>
      </c>
      <c r="P127" s="479">
        <f t="shared" si="12"/>
        <v>0</v>
      </c>
    </row>
    <row r="128" spans="2:16" ht="12.5">
      <c r="B128" s="160" t="str">
        <f t="shared" si="16"/>
        <v/>
      </c>
      <c r="C128" s="473">
        <f>IF(D93="","-",+C127+1)</f>
        <v>2048</v>
      </c>
      <c r="D128" s="347">
        <f>IF(F127+SUM(E$99:E127)=D$92,F127,D$92-SUM(E$99:E127))</f>
        <v>1603910</v>
      </c>
      <c r="E128" s="485">
        <f t="shared" si="17"/>
        <v>123379</v>
      </c>
      <c r="F128" s="486">
        <f t="shared" si="18"/>
        <v>1480531</v>
      </c>
      <c r="G128" s="486">
        <f t="shared" si="19"/>
        <v>1542220.5</v>
      </c>
      <c r="H128" s="614">
        <f t="shared" si="13"/>
        <v>282403.56485908269</v>
      </c>
      <c r="I128" s="615">
        <f t="shared" si="14"/>
        <v>282403.56485908269</v>
      </c>
      <c r="J128" s="479">
        <f t="shared" si="15"/>
        <v>0</v>
      </c>
      <c r="K128" s="479"/>
      <c r="L128" s="488"/>
      <c r="M128" s="479">
        <f t="shared" si="10"/>
        <v>0</v>
      </c>
      <c r="N128" s="488"/>
      <c r="O128" s="479">
        <f t="shared" si="11"/>
        <v>0</v>
      </c>
      <c r="P128" s="479">
        <f t="shared" si="12"/>
        <v>0</v>
      </c>
    </row>
    <row r="129" spans="2:16" ht="12.5">
      <c r="B129" s="160" t="str">
        <f t="shared" si="16"/>
        <v/>
      </c>
      <c r="C129" s="473">
        <f>IF(D93="","-",+C128+1)</f>
        <v>2049</v>
      </c>
      <c r="D129" s="347">
        <f>IF(F128+SUM(E$99:E128)=D$92,F128,D$92-SUM(E$99:E128))</f>
        <v>1480531</v>
      </c>
      <c r="E129" s="485">
        <f t="shared" si="17"/>
        <v>123379</v>
      </c>
      <c r="F129" s="486">
        <f t="shared" si="18"/>
        <v>1357152</v>
      </c>
      <c r="G129" s="486">
        <f t="shared" si="19"/>
        <v>1418841.5</v>
      </c>
      <c r="H129" s="614">
        <f t="shared" si="13"/>
        <v>269681.45943528065</v>
      </c>
      <c r="I129" s="615">
        <f t="shared" si="14"/>
        <v>269681.45943528065</v>
      </c>
      <c r="J129" s="479">
        <f t="shared" si="15"/>
        <v>0</v>
      </c>
      <c r="K129" s="479"/>
      <c r="L129" s="488"/>
      <c r="M129" s="479">
        <f t="shared" si="10"/>
        <v>0</v>
      </c>
      <c r="N129" s="488"/>
      <c r="O129" s="479">
        <f t="shared" si="11"/>
        <v>0</v>
      </c>
      <c r="P129" s="479">
        <f t="shared" si="12"/>
        <v>0</v>
      </c>
    </row>
    <row r="130" spans="2:16" ht="12.5">
      <c r="B130" s="160" t="str">
        <f t="shared" si="16"/>
        <v/>
      </c>
      <c r="C130" s="473">
        <f>IF(D93="","-",+C129+1)</f>
        <v>2050</v>
      </c>
      <c r="D130" s="347">
        <f>IF(F129+SUM(E$99:E129)=D$92,F129,D$92-SUM(E$99:E129))</f>
        <v>1357152</v>
      </c>
      <c r="E130" s="485">
        <f t="shared" si="17"/>
        <v>123379</v>
      </c>
      <c r="F130" s="486">
        <f t="shared" si="18"/>
        <v>1233773</v>
      </c>
      <c r="G130" s="486">
        <f t="shared" si="19"/>
        <v>1295462.5</v>
      </c>
      <c r="H130" s="614">
        <f t="shared" si="13"/>
        <v>256959.35401147854</v>
      </c>
      <c r="I130" s="615">
        <f t="shared" si="14"/>
        <v>256959.35401147854</v>
      </c>
      <c r="J130" s="479">
        <f t="shared" si="15"/>
        <v>0</v>
      </c>
      <c r="K130" s="479"/>
      <c r="L130" s="488"/>
      <c r="M130" s="479">
        <f t="shared" si="10"/>
        <v>0</v>
      </c>
      <c r="N130" s="488"/>
      <c r="O130" s="479">
        <f t="shared" si="11"/>
        <v>0</v>
      </c>
      <c r="P130" s="479">
        <f t="shared" si="12"/>
        <v>0</v>
      </c>
    </row>
    <row r="131" spans="2:16" ht="12.5">
      <c r="B131" s="160" t="str">
        <f t="shared" si="16"/>
        <v/>
      </c>
      <c r="C131" s="473">
        <f>IF(D93="","-",+C130+1)</f>
        <v>2051</v>
      </c>
      <c r="D131" s="347">
        <f>IF(F130+SUM(E$99:E130)=D$92,F130,D$92-SUM(E$99:E130))</f>
        <v>1233773</v>
      </c>
      <c r="E131" s="485">
        <f t="shared" si="17"/>
        <v>123379</v>
      </c>
      <c r="F131" s="486">
        <f t="shared" si="18"/>
        <v>1110394</v>
      </c>
      <c r="G131" s="486">
        <f t="shared" si="19"/>
        <v>1172083.5</v>
      </c>
      <c r="H131" s="614">
        <f t="shared" si="13"/>
        <v>244237.24858767647</v>
      </c>
      <c r="I131" s="615">
        <f t="shared" si="14"/>
        <v>244237.24858767647</v>
      </c>
      <c r="J131" s="479">
        <f t="shared" ref="J131:J154" si="20">+I541-H541</f>
        <v>0</v>
      </c>
      <c r="K131" s="479"/>
      <c r="L131" s="488"/>
      <c r="M131" s="479">
        <f t="shared" ref="M131:M154" si="21">IF(L541&lt;&gt;0,+H541-L541,0)</f>
        <v>0</v>
      </c>
      <c r="N131" s="488"/>
      <c r="O131" s="479">
        <f t="shared" ref="O131:O154" si="22">IF(N541&lt;&gt;0,+I541-N541,0)</f>
        <v>0</v>
      </c>
      <c r="P131" s="479">
        <f t="shared" ref="P131:P154" si="23">+O541-M541</f>
        <v>0</v>
      </c>
    </row>
    <row r="132" spans="2:16" ht="12.5">
      <c r="B132" s="160" t="str">
        <f t="shared" si="16"/>
        <v/>
      </c>
      <c r="C132" s="473">
        <f>IF(D93="","-",+C131+1)</f>
        <v>2052</v>
      </c>
      <c r="D132" s="347">
        <f>IF(F131+SUM(E$99:E131)=D$92,F131,D$92-SUM(E$99:E131))</f>
        <v>1110394</v>
      </c>
      <c r="E132" s="485">
        <f t="shared" si="17"/>
        <v>123379</v>
      </c>
      <c r="F132" s="486">
        <f t="shared" si="18"/>
        <v>987015</v>
      </c>
      <c r="G132" s="486">
        <f t="shared" si="19"/>
        <v>1048704.5</v>
      </c>
      <c r="H132" s="614">
        <f t="shared" si="13"/>
        <v>231515.1431638744</v>
      </c>
      <c r="I132" s="615">
        <f t="shared" si="14"/>
        <v>231515.1431638744</v>
      </c>
      <c r="J132" s="479">
        <f t="shared" si="20"/>
        <v>0</v>
      </c>
      <c r="K132" s="479"/>
      <c r="L132" s="488"/>
      <c r="M132" s="479">
        <f t="shared" si="21"/>
        <v>0</v>
      </c>
      <c r="N132" s="488"/>
      <c r="O132" s="479">
        <f t="shared" si="22"/>
        <v>0</v>
      </c>
      <c r="P132" s="479">
        <f t="shared" si="23"/>
        <v>0</v>
      </c>
    </row>
    <row r="133" spans="2:16" ht="12.5">
      <c r="B133" s="160" t="str">
        <f t="shared" si="16"/>
        <v/>
      </c>
      <c r="C133" s="473">
        <f>IF(D93="","-",+C132+1)</f>
        <v>2053</v>
      </c>
      <c r="D133" s="347">
        <f>IF(F132+SUM(E$99:E132)=D$92,F132,D$92-SUM(E$99:E132))</f>
        <v>987015</v>
      </c>
      <c r="E133" s="485">
        <f t="shared" si="17"/>
        <v>123379</v>
      </c>
      <c r="F133" s="486">
        <f t="shared" si="18"/>
        <v>863636</v>
      </c>
      <c r="G133" s="486">
        <f t="shared" si="19"/>
        <v>925325.5</v>
      </c>
      <c r="H133" s="614">
        <f t="shared" si="13"/>
        <v>218793.03774007229</v>
      </c>
      <c r="I133" s="615">
        <f t="shared" si="14"/>
        <v>218793.03774007229</v>
      </c>
      <c r="J133" s="479">
        <f t="shared" si="20"/>
        <v>0</v>
      </c>
      <c r="K133" s="479"/>
      <c r="L133" s="488"/>
      <c r="M133" s="479">
        <f t="shared" si="21"/>
        <v>0</v>
      </c>
      <c r="N133" s="488"/>
      <c r="O133" s="479">
        <f t="shared" si="22"/>
        <v>0</v>
      </c>
      <c r="P133" s="479">
        <f t="shared" si="23"/>
        <v>0</v>
      </c>
    </row>
    <row r="134" spans="2:16" ht="12.5">
      <c r="B134" s="160" t="str">
        <f t="shared" si="16"/>
        <v/>
      </c>
      <c r="C134" s="473">
        <f>IF(D93="","-",+C133+1)</f>
        <v>2054</v>
      </c>
      <c r="D134" s="347">
        <f>IF(F133+SUM(E$99:E133)=D$92,F133,D$92-SUM(E$99:E133))</f>
        <v>863636</v>
      </c>
      <c r="E134" s="485">
        <f t="shared" si="17"/>
        <v>123379</v>
      </c>
      <c r="F134" s="486">
        <f t="shared" si="18"/>
        <v>740257</v>
      </c>
      <c r="G134" s="486">
        <f t="shared" si="19"/>
        <v>801946.5</v>
      </c>
      <c r="H134" s="614">
        <f t="shared" si="13"/>
        <v>206070.93231627019</v>
      </c>
      <c r="I134" s="615">
        <f t="shared" si="14"/>
        <v>206070.93231627019</v>
      </c>
      <c r="J134" s="479">
        <f t="shared" si="20"/>
        <v>0</v>
      </c>
      <c r="K134" s="479"/>
      <c r="L134" s="488"/>
      <c r="M134" s="479">
        <f t="shared" si="21"/>
        <v>0</v>
      </c>
      <c r="N134" s="488"/>
      <c r="O134" s="479">
        <f t="shared" si="22"/>
        <v>0</v>
      </c>
      <c r="P134" s="479">
        <f t="shared" si="23"/>
        <v>0</v>
      </c>
    </row>
    <row r="135" spans="2:16" ht="12.5">
      <c r="B135" s="160" t="str">
        <f t="shared" si="16"/>
        <v/>
      </c>
      <c r="C135" s="473">
        <f>IF(D93="","-",+C134+1)</f>
        <v>2055</v>
      </c>
      <c r="D135" s="347">
        <f>IF(F134+SUM(E$99:E134)=D$92,F134,D$92-SUM(E$99:E134))</f>
        <v>740257</v>
      </c>
      <c r="E135" s="485">
        <f t="shared" si="17"/>
        <v>123379</v>
      </c>
      <c r="F135" s="486">
        <f t="shared" si="18"/>
        <v>616878</v>
      </c>
      <c r="G135" s="486">
        <f t="shared" si="19"/>
        <v>678567.5</v>
      </c>
      <c r="H135" s="614">
        <f t="shared" si="13"/>
        <v>193348.82689246812</v>
      </c>
      <c r="I135" s="615">
        <f t="shared" si="14"/>
        <v>193348.82689246812</v>
      </c>
      <c r="J135" s="479">
        <f t="shared" si="20"/>
        <v>0</v>
      </c>
      <c r="K135" s="479"/>
      <c r="L135" s="488"/>
      <c r="M135" s="479">
        <f t="shared" si="21"/>
        <v>0</v>
      </c>
      <c r="N135" s="488"/>
      <c r="O135" s="479">
        <f t="shared" si="22"/>
        <v>0</v>
      </c>
      <c r="P135" s="479">
        <f t="shared" si="23"/>
        <v>0</v>
      </c>
    </row>
    <row r="136" spans="2:16" ht="12.5">
      <c r="B136" s="160" t="str">
        <f t="shared" si="16"/>
        <v/>
      </c>
      <c r="C136" s="473">
        <f>IF(D93="","-",+C135+1)</f>
        <v>2056</v>
      </c>
      <c r="D136" s="347">
        <f>IF(F135+SUM(E$99:E135)=D$92,F135,D$92-SUM(E$99:E135))</f>
        <v>616878</v>
      </c>
      <c r="E136" s="485">
        <f t="shared" si="17"/>
        <v>123379</v>
      </c>
      <c r="F136" s="486">
        <f t="shared" si="18"/>
        <v>493499</v>
      </c>
      <c r="G136" s="486">
        <f t="shared" si="19"/>
        <v>555188.5</v>
      </c>
      <c r="H136" s="614">
        <f t="shared" si="13"/>
        <v>180626.72146866602</v>
      </c>
      <c r="I136" s="615">
        <f t="shared" si="14"/>
        <v>180626.72146866602</v>
      </c>
      <c r="J136" s="479">
        <f t="shared" si="20"/>
        <v>0</v>
      </c>
      <c r="K136" s="479"/>
      <c r="L136" s="488"/>
      <c r="M136" s="479">
        <f t="shared" si="21"/>
        <v>0</v>
      </c>
      <c r="N136" s="488"/>
      <c r="O136" s="479">
        <f t="shared" si="22"/>
        <v>0</v>
      </c>
      <c r="P136" s="479">
        <f t="shared" si="23"/>
        <v>0</v>
      </c>
    </row>
    <row r="137" spans="2:16" ht="12.5">
      <c r="B137" s="160" t="str">
        <f t="shared" si="16"/>
        <v/>
      </c>
      <c r="C137" s="473">
        <f>IF(D93="","-",+C136+1)</f>
        <v>2057</v>
      </c>
      <c r="D137" s="347">
        <f>IF(F136+SUM(E$99:E136)=D$92,F136,D$92-SUM(E$99:E136))</f>
        <v>493499</v>
      </c>
      <c r="E137" s="485">
        <f t="shared" si="17"/>
        <v>123379</v>
      </c>
      <c r="F137" s="486">
        <f t="shared" si="18"/>
        <v>370120</v>
      </c>
      <c r="G137" s="486">
        <f t="shared" si="19"/>
        <v>431809.5</v>
      </c>
      <c r="H137" s="614">
        <f t="shared" si="13"/>
        <v>167904.61604486394</v>
      </c>
      <c r="I137" s="615">
        <f t="shared" si="14"/>
        <v>167904.61604486394</v>
      </c>
      <c r="J137" s="479">
        <f t="shared" si="20"/>
        <v>0</v>
      </c>
      <c r="K137" s="479"/>
      <c r="L137" s="488"/>
      <c r="M137" s="479">
        <f t="shared" si="21"/>
        <v>0</v>
      </c>
      <c r="N137" s="488"/>
      <c r="O137" s="479">
        <f t="shared" si="22"/>
        <v>0</v>
      </c>
      <c r="P137" s="479">
        <f t="shared" si="23"/>
        <v>0</v>
      </c>
    </row>
    <row r="138" spans="2:16" ht="12.5">
      <c r="B138" s="160" t="str">
        <f t="shared" si="16"/>
        <v/>
      </c>
      <c r="C138" s="473">
        <f>IF(D93="","-",+C137+1)</f>
        <v>2058</v>
      </c>
      <c r="D138" s="347">
        <f>IF(F137+SUM(E$99:E137)=D$92,F137,D$92-SUM(E$99:E137))</f>
        <v>370120</v>
      </c>
      <c r="E138" s="485">
        <f t="shared" si="17"/>
        <v>123379</v>
      </c>
      <c r="F138" s="486">
        <f t="shared" si="18"/>
        <v>246741</v>
      </c>
      <c r="G138" s="486">
        <f t="shared" si="19"/>
        <v>308430.5</v>
      </c>
      <c r="H138" s="614">
        <f t="shared" si="13"/>
        <v>155182.51062106184</v>
      </c>
      <c r="I138" s="615">
        <f t="shared" si="14"/>
        <v>155182.51062106184</v>
      </c>
      <c r="J138" s="479">
        <f t="shared" si="20"/>
        <v>0</v>
      </c>
      <c r="K138" s="479"/>
      <c r="L138" s="488"/>
      <c r="M138" s="479">
        <f t="shared" si="21"/>
        <v>0</v>
      </c>
      <c r="N138" s="488"/>
      <c r="O138" s="479">
        <f t="shared" si="22"/>
        <v>0</v>
      </c>
      <c r="P138" s="479">
        <f t="shared" si="23"/>
        <v>0</v>
      </c>
    </row>
    <row r="139" spans="2:16" ht="12.5">
      <c r="B139" s="160" t="str">
        <f t="shared" si="16"/>
        <v/>
      </c>
      <c r="C139" s="473">
        <f>IF(D93="","-",+C138+1)</f>
        <v>2059</v>
      </c>
      <c r="D139" s="347">
        <f>IF(F138+SUM(E$99:E138)=D$92,F138,D$92-SUM(E$99:E138))</f>
        <v>246741</v>
      </c>
      <c r="E139" s="485">
        <f t="shared" si="17"/>
        <v>123379</v>
      </c>
      <c r="F139" s="486">
        <f t="shared" si="18"/>
        <v>123362</v>
      </c>
      <c r="G139" s="486">
        <f t="shared" si="19"/>
        <v>185051.5</v>
      </c>
      <c r="H139" s="614">
        <f t="shared" si="13"/>
        <v>142460.40519725977</v>
      </c>
      <c r="I139" s="615">
        <f t="shared" si="14"/>
        <v>142460.40519725977</v>
      </c>
      <c r="J139" s="479">
        <f t="shared" si="20"/>
        <v>0</v>
      </c>
      <c r="K139" s="479"/>
      <c r="L139" s="488"/>
      <c r="M139" s="479">
        <f t="shared" si="21"/>
        <v>0</v>
      </c>
      <c r="N139" s="488"/>
      <c r="O139" s="479">
        <f t="shared" si="22"/>
        <v>0</v>
      </c>
      <c r="P139" s="479">
        <f t="shared" si="23"/>
        <v>0</v>
      </c>
    </row>
    <row r="140" spans="2:16" ht="12.5">
      <c r="B140" s="160" t="str">
        <f t="shared" si="16"/>
        <v/>
      </c>
      <c r="C140" s="473">
        <f>IF(D93="","-",+C139+1)</f>
        <v>2060</v>
      </c>
      <c r="D140" s="347">
        <f>IF(F139+SUM(E$99:E139)=D$92,F139,D$92-SUM(E$99:E139))</f>
        <v>123362</v>
      </c>
      <c r="E140" s="485">
        <f t="shared" si="17"/>
        <v>123362</v>
      </c>
      <c r="F140" s="486">
        <f t="shared" si="18"/>
        <v>0</v>
      </c>
      <c r="G140" s="486">
        <f t="shared" si="19"/>
        <v>61681</v>
      </c>
      <c r="H140" s="614">
        <f t="shared" si="13"/>
        <v>129722.17624267936</v>
      </c>
      <c r="I140" s="615">
        <f t="shared" si="14"/>
        <v>129722.17624267936</v>
      </c>
      <c r="J140" s="479">
        <f t="shared" si="20"/>
        <v>0</v>
      </c>
      <c r="K140" s="479"/>
      <c r="L140" s="488"/>
      <c r="M140" s="479">
        <f t="shared" si="21"/>
        <v>0</v>
      </c>
      <c r="N140" s="488"/>
      <c r="O140" s="479">
        <f t="shared" si="22"/>
        <v>0</v>
      </c>
      <c r="P140" s="479">
        <f t="shared" si="23"/>
        <v>0</v>
      </c>
    </row>
    <row r="141" spans="2:16" ht="12.5">
      <c r="B141" s="160" t="str">
        <f t="shared" si="16"/>
        <v/>
      </c>
      <c r="C141" s="473">
        <f>IF(D93="","-",+C140+1)</f>
        <v>2061</v>
      </c>
      <c r="D141" s="347">
        <f>IF(F140+SUM(E$99:E140)=D$92,F140,D$92-SUM(E$99:E140))</f>
        <v>0</v>
      </c>
      <c r="E141" s="485">
        <f t="shared" si="17"/>
        <v>0</v>
      </c>
      <c r="F141" s="486">
        <f t="shared" si="18"/>
        <v>0</v>
      </c>
      <c r="G141" s="486">
        <f t="shared" si="19"/>
        <v>0</v>
      </c>
      <c r="H141" s="614">
        <f t="shared" si="13"/>
        <v>0</v>
      </c>
      <c r="I141" s="615">
        <f t="shared" si="14"/>
        <v>0</v>
      </c>
      <c r="J141" s="479">
        <f t="shared" si="20"/>
        <v>0</v>
      </c>
      <c r="K141" s="479"/>
      <c r="L141" s="488"/>
      <c r="M141" s="479">
        <f t="shared" si="21"/>
        <v>0</v>
      </c>
      <c r="N141" s="488"/>
      <c r="O141" s="479">
        <f t="shared" si="22"/>
        <v>0</v>
      </c>
      <c r="P141" s="479">
        <f t="shared" si="23"/>
        <v>0</v>
      </c>
    </row>
    <row r="142" spans="2:16" ht="12.5">
      <c r="B142" s="160" t="str">
        <f t="shared" si="16"/>
        <v/>
      </c>
      <c r="C142" s="473">
        <f>IF(D93="","-",+C141+1)</f>
        <v>2062</v>
      </c>
      <c r="D142" s="347">
        <f>IF(F141+SUM(E$99:E141)=D$92,F141,D$92-SUM(E$99:E141))</f>
        <v>0</v>
      </c>
      <c r="E142" s="485">
        <f t="shared" si="17"/>
        <v>0</v>
      </c>
      <c r="F142" s="486">
        <f t="shared" si="18"/>
        <v>0</v>
      </c>
      <c r="G142" s="486">
        <f t="shared" si="19"/>
        <v>0</v>
      </c>
      <c r="H142" s="614">
        <f t="shared" si="13"/>
        <v>0</v>
      </c>
      <c r="I142" s="615">
        <f t="shared" si="14"/>
        <v>0</v>
      </c>
      <c r="J142" s="479">
        <f t="shared" si="20"/>
        <v>0</v>
      </c>
      <c r="K142" s="479"/>
      <c r="L142" s="488"/>
      <c r="M142" s="479">
        <f t="shared" si="21"/>
        <v>0</v>
      </c>
      <c r="N142" s="488"/>
      <c r="O142" s="479">
        <f t="shared" si="22"/>
        <v>0</v>
      </c>
      <c r="P142" s="479">
        <f t="shared" si="23"/>
        <v>0</v>
      </c>
    </row>
    <row r="143" spans="2:16" ht="12.5">
      <c r="B143" s="160" t="str">
        <f t="shared" si="16"/>
        <v/>
      </c>
      <c r="C143" s="473">
        <f>IF(D93="","-",+C142+1)</f>
        <v>2063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614">
        <f t="shared" si="13"/>
        <v>0</v>
      </c>
      <c r="I143" s="615">
        <f t="shared" si="14"/>
        <v>0</v>
      </c>
      <c r="J143" s="479">
        <f t="shared" si="20"/>
        <v>0</v>
      </c>
      <c r="K143" s="479"/>
      <c r="L143" s="488"/>
      <c r="M143" s="479">
        <f t="shared" si="21"/>
        <v>0</v>
      </c>
      <c r="N143" s="488"/>
      <c r="O143" s="479">
        <f t="shared" si="22"/>
        <v>0</v>
      </c>
      <c r="P143" s="479">
        <f t="shared" si="23"/>
        <v>0</v>
      </c>
    </row>
    <row r="144" spans="2:16" ht="12.5">
      <c r="B144" s="160" t="str">
        <f t="shared" si="16"/>
        <v/>
      </c>
      <c r="C144" s="473">
        <f>IF(D93="","-",+C143+1)</f>
        <v>2064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614">
        <f t="shared" si="13"/>
        <v>0</v>
      </c>
      <c r="I144" s="615">
        <f t="shared" si="14"/>
        <v>0</v>
      </c>
      <c r="J144" s="479">
        <f t="shared" si="20"/>
        <v>0</v>
      </c>
      <c r="K144" s="479"/>
      <c r="L144" s="488"/>
      <c r="M144" s="479">
        <f t="shared" si="21"/>
        <v>0</v>
      </c>
      <c r="N144" s="488"/>
      <c r="O144" s="479">
        <f t="shared" si="22"/>
        <v>0</v>
      </c>
      <c r="P144" s="479">
        <f t="shared" si="23"/>
        <v>0</v>
      </c>
    </row>
    <row r="145" spans="2:16" ht="12.5">
      <c r="B145" s="160" t="str">
        <f t="shared" si="16"/>
        <v/>
      </c>
      <c r="C145" s="473">
        <f>IF(D93="","-",+C144+1)</f>
        <v>2065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614">
        <f t="shared" si="13"/>
        <v>0</v>
      </c>
      <c r="I145" s="615">
        <f t="shared" si="14"/>
        <v>0</v>
      </c>
      <c r="J145" s="479">
        <f t="shared" si="20"/>
        <v>0</v>
      </c>
      <c r="K145" s="479"/>
      <c r="L145" s="488"/>
      <c r="M145" s="479">
        <f t="shared" si="21"/>
        <v>0</v>
      </c>
      <c r="N145" s="488"/>
      <c r="O145" s="479">
        <f t="shared" si="22"/>
        <v>0</v>
      </c>
      <c r="P145" s="479">
        <f t="shared" si="23"/>
        <v>0</v>
      </c>
    </row>
    <row r="146" spans="2:16" ht="12.5">
      <c r="B146" s="160" t="str">
        <f t="shared" si="16"/>
        <v/>
      </c>
      <c r="C146" s="473">
        <f>IF(D93="","-",+C145+1)</f>
        <v>2066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614">
        <f t="shared" si="13"/>
        <v>0</v>
      </c>
      <c r="I146" s="615">
        <f t="shared" si="14"/>
        <v>0</v>
      </c>
      <c r="J146" s="479">
        <f t="shared" si="20"/>
        <v>0</v>
      </c>
      <c r="K146" s="479"/>
      <c r="L146" s="488"/>
      <c r="M146" s="479">
        <f t="shared" si="21"/>
        <v>0</v>
      </c>
      <c r="N146" s="488"/>
      <c r="O146" s="479">
        <f t="shared" si="22"/>
        <v>0</v>
      </c>
      <c r="P146" s="479">
        <f t="shared" si="23"/>
        <v>0</v>
      </c>
    </row>
    <row r="147" spans="2:16" ht="12.5">
      <c r="B147" s="160" t="str">
        <f t="shared" si="16"/>
        <v/>
      </c>
      <c r="C147" s="473">
        <f>IF(D93="","-",+C146+1)</f>
        <v>2067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614">
        <f t="shared" si="13"/>
        <v>0</v>
      </c>
      <c r="I147" s="615">
        <f t="shared" si="14"/>
        <v>0</v>
      </c>
      <c r="J147" s="479">
        <f t="shared" si="20"/>
        <v>0</v>
      </c>
      <c r="K147" s="479"/>
      <c r="L147" s="488"/>
      <c r="M147" s="479">
        <f t="shared" si="21"/>
        <v>0</v>
      </c>
      <c r="N147" s="488"/>
      <c r="O147" s="479">
        <f t="shared" si="22"/>
        <v>0</v>
      </c>
      <c r="P147" s="479">
        <f t="shared" si="23"/>
        <v>0</v>
      </c>
    </row>
    <row r="148" spans="2:16" ht="12.5">
      <c r="B148" s="160" t="str">
        <f t="shared" si="16"/>
        <v/>
      </c>
      <c r="C148" s="473">
        <f>IF(D93="","-",+C147+1)</f>
        <v>2068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614">
        <f t="shared" si="13"/>
        <v>0</v>
      </c>
      <c r="I148" s="615">
        <f t="shared" si="14"/>
        <v>0</v>
      </c>
      <c r="J148" s="479">
        <f t="shared" si="20"/>
        <v>0</v>
      </c>
      <c r="K148" s="479"/>
      <c r="L148" s="488"/>
      <c r="M148" s="479">
        <f t="shared" si="21"/>
        <v>0</v>
      </c>
      <c r="N148" s="488"/>
      <c r="O148" s="479">
        <f t="shared" si="22"/>
        <v>0</v>
      </c>
      <c r="P148" s="479">
        <f t="shared" si="23"/>
        <v>0</v>
      </c>
    </row>
    <row r="149" spans="2:16" ht="12.5">
      <c r="B149" s="160" t="str">
        <f t="shared" si="16"/>
        <v/>
      </c>
      <c r="C149" s="473">
        <f>IF(D93="","-",+C148+1)</f>
        <v>2069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614">
        <f t="shared" si="13"/>
        <v>0</v>
      </c>
      <c r="I149" s="615">
        <f t="shared" si="14"/>
        <v>0</v>
      </c>
      <c r="J149" s="479">
        <f t="shared" si="20"/>
        <v>0</v>
      </c>
      <c r="K149" s="479"/>
      <c r="L149" s="488"/>
      <c r="M149" s="479">
        <f t="shared" si="21"/>
        <v>0</v>
      </c>
      <c r="N149" s="488"/>
      <c r="O149" s="479">
        <f t="shared" si="22"/>
        <v>0</v>
      </c>
      <c r="P149" s="479">
        <f t="shared" si="23"/>
        <v>0</v>
      </c>
    </row>
    <row r="150" spans="2:16" ht="12.5">
      <c r="B150" s="160" t="str">
        <f t="shared" si="16"/>
        <v/>
      </c>
      <c r="C150" s="473">
        <f>IF(D93="","-",+C149+1)</f>
        <v>2070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614">
        <f t="shared" si="13"/>
        <v>0</v>
      </c>
      <c r="I150" s="615">
        <f t="shared" si="14"/>
        <v>0</v>
      </c>
      <c r="J150" s="479">
        <f t="shared" si="20"/>
        <v>0</v>
      </c>
      <c r="K150" s="479"/>
      <c r="L150" s="488"/>
      <c r="M150" s="479">
        <f t="shared" si="21"/>
        <v>0</v>
      </c>
      <c r="N150" s="488"/>
      <c r="O150" s="479">
        <f t="shared" si="22"/>
        <v>0</v>
      </c>
      <c r="P150" s="479">
        <f t="shared" si="23"/>
        <v>0</v>
      </c>
    </row>
    <row r="151" spans="2:16" ht="12.5">
      <c r="B151" s="160" t="str">
        <f t="shared" si="16"/>
        <v/>
      </c>
      <c r="C151" s="473">
        <f>IF(D93="","-",+C150+1)</f>
        <v>2071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614">
        <f t="shared" si="13"/>
        <v>0</v>
      </c>
      <c r="I151" s="615">
        <f t="shared" si="14"/>
        <v>0</v>
      </c>
      <c r="J151" s="479">
        <f t="shared" si="20"/>
        <v>0</v>
      </c>
      <c r="K151" s="479"/>
      <c r="L151" s="488"/>
      <c r="M151" s="479">
        <f t="shared" si="21"/>
        <v>0</v>
      </c>
      <c r="N151" s="488"/>
      <c r="O151" s="479">
        <f t="shared" si="22"/>
        <v>0</v>
      </c>
      <c r="P151" s="479">
        <f t="shared" si="23"/>
        <v>0</v>
      </c>
    </row>
    <row r="152" spans="2:16" ht="12.5">
      <c r="B152" s="160" t="str">
        <f t="shared" si="16"/>
        <v/>
      </c>
      <c r="C152" s="473">
        <f>IF(D93="","-",+C151+1)</f>
        <v>2072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614">
        <f t="shared" si="13"/>
        <v>0</v>
      </c>
      <c r="I152" s="615">
        <f t="shared" si="14"/>
        <v>0</v>
      </c>
      <c r="J152" s="479">
        <f t="shared" si="20"/>
        <v>0</v>
      </c>
      <c r="K152" s="479"/>
      <c r="L152" s="488"/>
      <c r="M152" s="479">
        <f t="shared" si="21"/>
        <v>0</v>
      </c>
      <c r="N152" s="488"/>
      <c r="O152" s="479">
        <f t="shared" si="22"/>
        <v>0</v>
      </c>
      <c r="P152" s="479">
        <f t="shared" si="23"/>
        <v>0</v>
      </c>
    </row>
    <row r="153" spans="2:16" ht="12.5">
      <c r="B153" s="160" t="str">
        <f t="shared" si="16"/>
        <v/>
      </c>
      <c r="C153" s="473">
        <f>IF(D93="","-",+C152+1)</f>
        <v>2073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614">
        <f t="shared" si="13"/>
        <v>0</v>
      </c>
      <c r="I153" s="615">
        <f t="shared" si="14"/>
        <v>0</v>
      </c>
      <c r="J153" s="479">
        <f t="shared" si="20"/>
        <v>0</v>
      </c>
      <c r="K153" s="479"/>
      <c r="L153" s="488"/>
      <c r="M153" s="479">
        <f t="shared" si="21"/>
        <v>0</v>
      </c>
      <c r="N153" s="488"/>
      <c r="O153" s="479">
        <f t="shared" si="22"/>
        <v>0</v>
      </c>
      <c r="P153" s="479">
        <f t="shared" si="23"/>
        <v>0</v>
      </c>
    </row>
    <row r="154" spans="2:16" ht="13" thickBot="1">
      <c r="B154" s="160" t="str">
        <f t="shared" si="16"/>
        <v/>
      </c>
      <c r="C154" s="490">
        <f>IF(D93="","-",+C153+1)</f>
        <v>2074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6">
        <f t="shared" si="13"/>
        <v>0</v>
      </c>
      <c r="I154" s="617">
        <f t="shared" si="14"/>
        <v>0</v>
      </c>
      <c r="J154" s="496">
        <f t="shared" si="20"/>
        <v>0</v>
      </c>
      <c r="K154" s="479"/>
      <c r="L154" s="495"/>
      <c r="M154" s="496">
        <f t="shared" si="21"/>
        <v>0</v>
      </c>
      <c r="N154" s="495"/>
      <c r="O154" s="496">
        <f t="shared" si="22"/>
        <v>0</v>
      </c>
      <c r="P154" s="496">
        <f t="shared" si="23"/>
        <v>0</v>
      </c>
    </row>
    <row r="155" spans="2:16" ht="12.5">
      <c r="C155" s="347" t="s">
        <v>77</v>
      </c>
      <c r="D155" s="348"/>
      <c r="E155" s="348">
        <f>SUM(E99:E154)</f>
        <v>5058522</v>
      </c>
      <c r="F155" s="348"/>
      <c r="G155" s="348"/>
      <c r="H155" s="348">
        <f>SUM(H99:H154)</f>
        <v>16012182.899417419</v>
      </c>
      <c r="I155" s="348">
        <f>SUM(I99:I154)</f>
        <v>16012182.899417419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topLeftCell="D76" zoomScale="86" zoomScaleNormal="86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28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0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0</v>
      </c>
      <c r="O6" s="233"/>
      <c r="P6" s="233"/>
    </row>
    <row r="7" spans="1:16" ht="13.5" thickBot="1">
      <c r="C7" s="432" t="s">
        <v>46</v>
      </c>
      <c r="D7" s="600"/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349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0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2019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0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2019</v>
      </c>
      <c r="D17" s="347">
        <v>0</v>
      </c>
      <c r="E17" s="620">
        <f>IF(D10&gt;=100000,I$14/12*(12-D12),0)</f>
        <v>0</v>
      </c>
      <c r="F17" s="486">
        <f>IF(D11=C17,+D10-E17,+D17-E17)</f>
        <v>0</v>
      </c>
      <c r="G17" s="620">
        <f>(D17+F17)/2*I$12+E17</f>
        <v>0</v>
      </c>
      <c r="H17" s="456">
        <f>+(D17+F17)/2*I$13+E17</f>
        <v>0</v>
      </c>
      <c r="I17" s="476">
        <f>H17-G17</f>
        <v>0</v>
      </c>
      <c r="J17" s="476"/>
      <c r="K17" s="555"/>
      <c r="L17" s="478">
        <f t="shared" ref="L17:L72" si="0">IF(K17&lt;&gt;0,+G17-K17,0)</f>
        <v>0</v>
      </c>
      <c r="M17" s="555"/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2020</v>
      </c>
      <c r="D18" s="484">
        <f>IF(F17+SUM(E$17:E17)=D$10,F17,D$10-SUM(E$17:E17))</f>
        <v>0</v>
      </c>
      <c r="E18" s="485">
        <f>IF(+I$14&lt;F17,I$14,D18)</f>
        <v>0</v>
      </c>
      <c r="F18" s="486">
        <f>+D18-E18</f>
        <v>0</v>
      </c>
      <c r="G18" s="487">
        <f>(D18+F18)/2*I$12+E18</f>
        <v>0</v>
      </c>
      <c r="H18" s="456">
        <f>+(D18+F18)/2*I$13+E18</f>
        <v>0</v>
      </c>
      <c r="I18" s="476">
        <f>H18-G18</f>
        <v>0</v>
      </c>
      <c r="J18" s="476"/>
      <c r="K18" s="488"/>
      <c r="L18" s="479">
        <f t="shared" si="0"/>
        <v>0</v>
      </c>
      <c r="M18" s="488"/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/>
      </c>
      <c r="C19" s="473">
        <f>IF(D11="","-",+C18+1)</f>
        <v>2021</v>
      </c>
      <c r="D19" s="484">
        <f>IF(F18+SUM(E$17:E18)=D$10,F18,D$10-SUM(E$17:E18))</f>
        <v>0</v>
      </c>
      <c r="E19" s="485">
        <f t="shared" ref="E19:E71" si="3">IF(+I$14&lt;F18,I$14,D19)</f>
        <v>0</v>
      </c>
      <c r="F19" s="486">
        <f t="shared" ref="F19:F71" si="4">+D19-E19</f>
        <v>0</v>
      </c>
      <c r="G19" s="487">
        <f t="shared" ref="G19:G71" si="5">(D19+F19)/2*I$12+E19</f>
        <v>0</v>
      </c>
      <c r="H19" s="456">
        <f t="shared" ref="H19:H71" si="6">+(D19+F19)/2*I$13+E19</f>
        <v>0</v>
      </c>
      <c r="I19" s="476">
        <f t="shared" ref="I19:I71" si="7">H19-G19</f>
        <v>0</v>
      </c>
      <c r="J19" s="476"/>
      <c r="K19" s="488"/>
      <c r="L19" s="479">
        <f t="shared" si="0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8">IF(D20=F19,"","IU")</f>
        <v/>
      </c>
      <c r="C20" s="473">
        <f>IF(D11="","-",+C19+1)</f>
        <v>2022</v>
      </c>
      <c r="D20" s="484">
        <f>IF(F19+SUM(E$17:E19)=D$10,F19,D$10-SUM(E$17:E19))</f>
        <v>0</v>
      </c>
      <c r="E20" s="485">
        <f t="shared" si="3"/>
        <v>0</v>
      </c>
      <c r="F20" s="486">
        <f t="shared" si="4"/>
        <v>0</v>
      </c>
      <c r="G20" s="487">
        <f t="shared" si="5"/>
        <v>0</v>
      </c>
      <c r="H20" s="456">
        <f t="shared" si="6"/>
        <v>0</v>
      </c>
      <c r="I20" s="476">
        <f t="shared" si="7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8"/>
        <v/>
      </c>
      <c r="C21" s="473">
        <f>IF(D11="","-",+C20+1)</f>
        <v>2023</v>
      </c>
      <c r="D21" s="484">
        <f>IF(F20+SUM(E$17:E20)=D$10,F20,D$10-SUM(E$17:E20))</f>
        <v>0</v>
      </c>
      <c r="E21" s="485">
        <f t="shared" si="3"/>
        <v>0</v>
      </c>
      <c r="F21" s="486">
        <f t="shared" si="4"/>
        <v>0</v>
      </c>
      <c r="G21" s="487">
        <f t="shared" si="5"/>
        <v>0</v>
      </c>
      <c r="H21" s="456">
        <f t="shared" si="6"/>
        <v>0</v>
      </c>
      <c r="I21" s="476">
        <f t="shared" si="7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8"/>
        <v/>
      </c>
      <c r="C22" s="473">
        <f>IF(D11="","-",+C21+1)</f>
        <v>2024</v>
      </c>
      <c r="D22" s="484">
        <f>IF(F21+SUM(E$17:E21)=D$10,F21,D$10-SUM(E$17:E21))</f>
        <v>0</v>
      </c>
      <c r="E22" s="485">
        <f t="shared" si="3"/>
        <v>0</v>
      </c>
      <c r="F22" s="486">
        <f t="shared" si="4"/>
        <v>0</v>
      </c>
      <c r="G22" s="487">
        <f t="shared" si="5"/>
        <v>0</v>
      </c>
      <c r="H22" s="456">
        <f t="shared" si="6"/>
        <v>0</v>
      </c>
      <c r="I22" s="476">
        <f t="shared" si="7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8"/>
        <v/>
      </c>
      <c r="C23" s="473">
        <f>IF(D11="","-",+C22+1)</f>
        <v>2025</v>
      </c>
      <c r="D23" s="484">
        <f>IF(F22+SUM(E$17:E22)=D$10,F22,D$10-SUM(E$17:E22))</f>
        <v>0</v>
      </c>
      <c r="E23" s="485">
        <f t="shared" si="3"/>
        <v>0</v>
      </c>
      <c r="F23" s="486">
        <f t="shared" si="4"/>
        <v>0</v>
      </c>
      <c r="G23" s="487">
        <f t="shared" si="5"/>
        <v>0</v>
      </c>
      <c r="H23" s="456">
        <f t="shared" si="6"/>
        <v>0</v>
      </c>
      <c r="I23" s="476">
        <f t="shared" si="7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8"/>
        <v/>
      </c>
      <c r="C24" s="473">
        <f>IF(D11="","-",+C23+1)</f>
        <v>2026</v>
      </c>
      <c r="D24" s="484">
        <f>IF(F23+SUM(E$17:E23)=D$10,F23,D$10-SUM(E$17:E23))</f>
        <v>0</v>
      </c>
      <c r="E24" s="485">
        <f t="shared" si="3"/>
        <v>0</v>
      </c>
      <c r="F24" s="486">
        <f t="shared" si="4"/>
        <v>0</v>
      </c>
      <c r="G24" s="487">
        <f t="shared" si="5"/>
        <v>0</v>
      </c>
      <c r="H24" s="456">
        <f t="shared" si="6"/>
        <v>0</v>
      </c>
      <c r="I24" s="476">
        <f t="shared" si="7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8"/>
        <v/>
      </c>
      <c r="C25" s="473">
        <f>IF(D11="","-",+C24+1)</f>
        <v>2027</v>
      </c>
      <c r="D25" s="484">
        <f>IF(F24+SUM(E$17:E24)=D$10,F24,D$10-SUM(E$17:E24))</f>
        <v>0</v>
      </c>
      <c r="E25" s="485">
        <f t="shared" si="3"/>
        <v>0</v>
      </c>
      <c r="F25" s="486">
        <f t="shared" si="4"/>
        <v>0</v>
      </c>
      <c r="G25" s="487">
        <f t="shared" si="5"/>
        <v>0</v>
      </c>
      <c r="H25" s="456">
        <f t="shared" si="6"/>
        <v>0</v>
      </c>
      <c r="I25" s="476">
        <f t="shared" si="7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8"/>
        <v/>
      </c>
      <c r="C26" s="473">
        <f>IF(D11="","-",+C25+1)</f>
        <v>2028</v>
      </c>
      <c r="D26" s="484">
        <f>IF(F25+SUM(E$17:E25)=D$10,F25,D$10-SUM(E$17:E25))</f>
        <v>0</v>
      </c>
      <c r="E26" s="485">
        <f t="shared" si="3"/>
        <v>0</v>
      </c>
      <c r="F26" s="486">
        <f t="shared" si="4"/>
        <v>0</v>
      </c>
      <c r="G26" s="487">
        <f t="shared" si="5"/>
        <v>0</v>
      </c>
      <c r="H26" s="456">
        <f t="shared" si="6"/>
        <v>0</v>
      </c>
      <c r="I26" s="476">
        <f t="shared" si="7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8"/>
        <v/>
      </c>
      <c r="C27" s="473">
        <f>IF(D11="","-",+C26+1)</f>
        <v>2029</v>
      </c>
      <c r="D27" s="484">
        <f>IF(F26+SUM(E$17:E26)=D$10,F26,D$10-SUM(E$17:E26))</f>
        <v>0</v>
      </c>
      <c r="E27" s="485">
        <f t="shared" si="3"/>
        <v>0</v>
      </c>
      <c r="F27" s="486">
        <f t="shared" si="4"/>
        <v>0</v>
      </c>
      <c r="G27" s="487">
        <f t="shared" si="5"/>
        <v>0</v>
      </c>
      <c r="H27" s="456">
        <f t="shared" si="6"/>
        <v>0</v>
      </c>
      <c r="I27" s="476">
        <f t="shared" si="7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8"/>
        <v/>
      </c>
      <c r="C28" s="473">
        <f>IF(D11="","-",+C27+1)</f>
        <v>2030</v>
      </c>
      <c r="D28" s="484">
        <f>IF(F27+SUM(E$17:E27)=D$10,F27,D$10-SUM(E$17:E27))</f>
        <v>0</v>
      </c>
      <c r="E28" s="485">
        <f t="shared" si="3"/>
        <v>0</v>
      </c>
      <c r="F28" s="486">
        <f t="shared" si="4"/>
        <v>0</v>
      </c>
      <c r="G28" s="487">
        <f t="shared" si="5"/>
        <v>0</v>
      </c>
      <c r="H28" s="456">
        <f t="shared" si="6"/>
        <v>0</v>
      </c>
      <c r="I28" s="476">
        <f t="shared" si="7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8"/>
        <v/>
      </c>
      <c r="C29" s="473">
        <f>IF(D11="","-",+C28+1)</f>
        <v>2031</v>
      </c>
      <c r="D29" s="484">
        <f>IF(F28+SUM(E$17:E28)=D$10,F28,D$10-SUM(E$17:E28))</f>
        <v>0</v>
      </c>
      <c r="E29" s="485">
        <f t="shared" si="3"/>
        <v>0</v>
      </c>
      <c r="F29" s="486">
        <f t="shared" si="4"/>
        <v>0</v>
      </c>
      <c r="G29" s="487">
        <f t="shared" si="5"/>
        <v>0</v>
      </c>
      <c r="H29" s="456">
        <f t="shared" si="6"/>
        <v>0</v>
      </c>
      <c r="I29" s="476">
        <f t="shared" si="7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8"/>
        <v/>
      </c>
      <c r="C30" s="473">
        <f>IF(D11="","-",+C29+1)</f>
        <v>2032</v>
      </c>
      <c r="D30" s="484">
        <f>IF(F29+SUM(E$17:E29)=D$10,F29,D$10-SUM(E$17:E29))</f>
        <v>0</v>
      </c>
      <c r="E30" s="485">
        <f t="shared" si="3"/>
        <v>0</v>
      </c>
      <c r="F30" s="486">
        <f t="shared" si="4"/>
        <v>0</v>
      </c>
      <c r="G30" s="487">
        <f t="shared" si="5"/>
        <v>0</v>
      </c>
      <c r="H30" s="456">
        <f t="shared" si="6"/>
        <v>0</v>
      </c>
      <c r="I30" s="476">
        <f t="shared" si="7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8"/>
        <v/>
      </c>
      <c r="C31" s="473">
        <f>IF(D11="","-",+C30+1)</f>
        <v>2033</v>
      </c>
      <c r="D31" s="484">
        <f>IF(F30+SUM(E$17:E30)=D$10,F30,D$10-SUM(E$17:E30))</f>
        <v>0</v>
      </c>
      <c r="E31" s="485">
        <f t="shared" si="3"/>
        <v>0</v>
      </c>
      <c r="F31" s="486">
        <f t="shared" si="4"/>
        <v>0</v>
      </c>
      <c r="G31" s="487">
        <f t="shared" si="5"/>
        <v>0</v>
      </c>
      <c r="H31" s="456">
        <f t="shared" si="6"/>
        <v>0</v>
      </c>
      <c r="I31" s="476">
        <f t="shared" si="7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8"/>
        <v/>
      </c>
      <c r="C32" s="473">
        <f>IF(D11="","-",+C31+1)</f>
        <v>2034</v>
      </c>
      <c r="D32" s="484">
        <f>IF(F31+SUM(E$17:E31)=D$10,F31,D$10-SUM(E$17:E31))</f>
        <v>0</v>
      </c>
      <c r="E32" s="485">
        <f t="shared" si="3"/>
        <v>0</v>
      </c>
      <c r="F32" s="486">
        <f t="shared" si="4"/>
        <v>0</v>
      </c>
      <c r="G32" s="487">
        <f t="shared" si="5"/>
        <v>0</v>
      </c>
      <c r="H32" s="456">
        <f t="shared" si="6"/>
        <v>0</v>
      </c>
      <c r="I32" s="476">
        <f t="shared" si="7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8"/>
        <v/>
      </c>
      <c r="C33" s="473">
        <f>IF(D11="","-",+C32+1)</f>
        <v>2035</v>
      </c>
      <c r="D33" s="484">
        <f>IF(F32+SUM(E$17:E32)=D$10,F32,D$10-SUM(E$17:E32))</f>
        <v>0</v>
      </c>
      <c r="E33" s="485">
        <f t="shared" si="3"/>
        <v>0</v>
      </c>
      <c r="F33" s="486">
        <f t="shared" si="4"/>
        <v>0</v>
      </c>
      <c r="G33" s="487">
        <f t="shared" si="5"/>
        <v>0</v>
      </c>
      <c r="H33" s="456">
        <f t="shared" si="6"/>
        <v>0</v>
      </c>
      <c r="I33" s="476">
        <f t="shared" si="7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8"/>
        <v/>
      </c>
      <c r="C34" s="473">
        <f>IF(D11="","-",+C33+1)</f>
        <v>2036</v>
      </c>
      <c r="D34" s="484">
        <f>IF(F33+SUM(E$17:E33)=D$10,F33,D$10-SUM(E$17:E33))</f>
        <v>0</v>
      </c>
      <c r="E34" s="485">
        <f t="shared" si="3"/>
        <v>0</v>
      </c>
      <c r="F34" s="486">
        <f t="shared" si="4"/>
        <v>0</v>
      </c>
      <c r="G34" s="487">
        <f t="shared" si="5"/>
        <v>0</v>
      </c>
      <c r="H34" s="456">
        <f t="shared" si="6"/>
        <v>0</v>
      </c>
      <c r="I34" s="476">
        <f t="shared" si="7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8"/>
        <v/>
      </c>
      <c r="C35" s="473">
        <f>IF(D11="","-",+C34+1)</f>
        <v>2037</v>
      </c>
      <c r="D35" s="484">
        <f>IF(F34+SUM(E$17:E34)=D$10,F34,D$10-SUM(E$17:E34))</f>
        <v>0</v>
      </c>
      <c r="E35" s="485">
        <f t="shared" si="3"/>
        <v>0</v>
      </c>
      <c r="F35" s="486">
        <f t="shared" si="4"/>
        <v>0</v>
      </c>
      <c r="G35" s="487">
        <f t="shared" si="5"/>
        <v>0</v>
      </c>
      <c r="H35" s="456">
        <f t="shared" si="6"/>
        <v>0</v>
      </c>
      <c r="I35" s="476">
        <f t="shared" si="7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8"/>
        <v/>
      </c>
      <c r="C36" s="473">
        <f>IF(D11="","-",+C35+1)</f>
        <v>2038</v>
      </c>
      <c r="D36" s="484">
        <f>IF(F35+SUM(E$17:E35)=D$10,F35,D$10-SUM(E$17:E35))</f>
        <v>0</v>
      </c>
      <c r="E36" s="485">
        <f t="shared" si="3"/>
        <v>0</v>
      </c>
      <c r="F36" s="486">
        <f t="shared" si="4"/>
        <v>0</v>
      </c>
      <c r="G36" s="487">
        <f t="shared" si="5"/>
        <v>0</v>
      </c>
      <c r="H36" s="456">
        <f t="shared" si="6"/>
        <v>0</v>
      </c>
      <c r="I36" s="476">
        <f t="shared" si="7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8"/>
        <v/>
      </c>
      <c r="C37" s="473">
        <f>IF(D11="","-",+C36+1)</f>
        <v>2039</v>
      </c>
      <c r="D37" s="484">
        <f>IF(F36+SUM(E$17:E36)=D$10,F36,D$10-SUM(E$17:E36))</f>
        <v>0</v>
      </c>
      <c r="E37" s="485">
        <f t="shared" si="3"/>
        <v>0</v>
      </c>
      <c r="F37" s="486">
        <f t="shared" si="4"/>
        <v>0</v>
      </c>
      <c r="G37" s="487">
        <f t="shared" si="5"/>
        <v>0</v>
      </c>
      <c r="H37" s="456">
        <f t="shared" si="6"/>
        <v>0</v>
      </c>
      <c r="I37" s="476">
        <f t="shared" si="7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8"/>
        <v/>
      </c>
      <c r="C38" s="473">
        <f>IF(D11="","-",+C37+1)</f>
        <v>2040</v>
      </c>
      <c r="D38" s="484">
        <f>IF(F37+SUM(E$17:E37)=D$10,F37,D$10-SUM(E$17:E37))</f>
        <v>0</v>
      </c>
      <c r="E38" s="485">
        <f t="shared" si="3"/>
        <v>0</v>
      </c>
      <c r="F38" s="486">
        <f t="shared" si="4"/>
        <v>0</v>
      </c>
      <c r="G38" s="487">
        <f t="shared" si="5"/>
        <v>0</v>
      </c>
      <c r="H38" s="456">
        <f t="shared" si="6"/>
        <v>0</v>
      </c>
      <c r="I38" s="476">
        <f t="shared" si="7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8"/>
        <v/>
      </c>
      <c r="C39" s="473">
        <f>IF(D11="","-",+C38+1)</f>
        <v>2041</v>
      </c>
      <c r="D39" s="484">
        <f>IF(F38+SUM(E$17:E38)=D$10,F38,D$10-SUM(E$17:E38))</f>
        <v>0</v>
      </c>
      <c r="E39" s="485">
        <f t="shared" si="3"/>
        <v>0</v>
      </c>
      <c r="F39" s="486">
        <f t="shared" si="4"/>
        <v>0</v>
      </c>
      <c r="G39" s="487">
        <f t="shared" si="5"/>
        <v>0</v>
      </c>
      <c r="H39" s="456">
        <f t="shared" si="6"/>
        <v>0</v>
      </c>
      <c r="I39" s="476">
        <f t="shared" si="7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8"/>
        <v/>
      </c>
      <c r="C40" s="473">
        <f>IF(D11="","-",+C39+1)</f>
        <v>2042</v>
      </c>
      <c r="D40" s="484">
        <f>IF(F39+SUM(E$17:E39)=D$10,F39,D$10-SUM(E$17:E39))</f>
        <v>0</v>
      </c>
      <c r="E40" s="485">
        <f t="shared" si="3"/>
        <v>0</v>
      </c>
      <c r="F40" s="486">
        <f t="shared" si="4"/>
        <v>0</v>
      </c>
      <c r="G40" s="487">
        <f t="shared" si="5"/>
        <v>0</v>
      </c>
      <c r="H40" s="456">
        <f t="shared" si="6"/>
        <v>0</v>
      </c>
      <c r="I40" s="476">
        <f t="shared" si="7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8"/>
        <v/>
      </c>
      <c r="C41" s="473">
        <f>IF(D11="","-",+C40+1)</f>
        <v>2043</v>
      </c>
      <c r="D41" s="484">
        <f>IF(F40+SUM(E$17:E40)=D$10,F40,D$10-SUM(E$17:E40))</f>
        <v>0</v>
      </c>
      <c r="E41" s="485">
        <f t="shared" si="3"/>
        <v>0</v>
      </c>
      <c r="F41" s="486">
        <f t="shared" si="4"/>
        <v>0</v>
      </c>
      <c r="G41" s="487">
        <f t="shared" si="5"/>
        <v>0</v>
      </c>
      <c r="H41" s="456">
        <f t="shared" si="6"/>
        <v>0</v>
      </c>
      <c r="I41" s="476">
        <f t="shared" si="7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8"/>
        <v/>
      </c>
      <c r="C42" s="473">
        <f>IF(D11="","-",+C41+1)</f>
        <v>2044</v>
      </c>
      <c r="D42" s="484">
        <f>IF(F41+SUM(E$17:E41)=D$10,F41,D$10-SUM(E$17:E41))</f>
        <v>0</v>
      </c>
      <c r="E42" s="485">
        <f t="shared" si="3"/>
        <v>0</v>
      </c>
      <c r="F42" s="486">
        <f t="shared" si="4"/>
        <v>0</v>
      </c>
      <c r="G42" s="487">
        <f t="shared" si="5"/>
        <v>0</v>
      </c>
      <c r="H42" s="456">
        <f t="shared" si="6"/>
        <v>0</v>
      </c>
      <c r="I42" s="476">
        <f t="shared" si="7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8"/>
        <v/>
      </c>
      <c r="C43" s="473">
        <f>IF(D11="","-",+C42+1)</f>
        <v>2045</v>
      </c>
      <c r="D43" s="484">
        <f>IF(F42+SUM(E$17:E42)=D$10,F42,D$10-SUM(E$17:E42))</f>
        <v>0</v>
      </c>
      <c r="E43" s="485">
        <f t="shared" si="3"/>
        <v>0</v>
      </c>
      <c r="F43" s="486">
        <f t="shared" si="4"/>
        <v>0</v>
      </c>
      <c r="G43" s="487">
        <f t="shared" si="5"/>
        <v>0</v>
      </c>
      <c r="H43" s="456">
        <f t="shared" si="6"/>
        <v>0</v>
      </c>
      <c r="I43" s="476">
        <f t="shared" si="7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8"/>
        <v/>
      </c>
      <c r="C44" s="473">
        <f>IF(D11="","-",+C43+1)</f>
        <v>2046</v>
      </c>
      <c r="D44" s="484">
        <f>IF(F43+SUM(E$17:E43)=D$10,F43,D$10-SUM(E$17:E43))</f>
        <v>0</v>
      </c>
      <c r="E44" s="485">
        <f t="shared" si="3"/>
        <v>0</v>
      </c>
      <c r="F44" s="486">
        <f t="shared" si="4"/>
        <v>0</v>
      </c>
      <c r="G44" s="487">
        <f t="shared" si="5"/>
        <v>0</v>
      </c>
      <c r="H44" s="456">
        <f t="shared" si="6"/>
        <v>0</v>
      </c>
      <c r="I44" s="476">
        <f t="shared" si="7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8"/>
        <v/>
      </c>
      <c r="C45" s="473">
        <f>IF(D11="","-",+C44+1)</f>
        <v>2047</v>
      </c>
      <c r="D45" s="484">
        <f>IF(F44+SUM(E$17:E44)=D$10,F44,D$10-SUM(E$17:E44))</f>
        <v>0</v>
      </c>
      <c r="E45" s="485">
        <f t="shared" si="3"/>
        <v>0</v>
      </c>
      <c r="F45" s="486">
        <f t="shared" si="4"/>
        <v>0</v>
      </c>
      <c r="G45" s="487">
        <f t="shared" si="5"/>
        <v>0</v>
      </c>
      <c r="H45" s="456">
        <f t="shared" si="6"/>
        <v>0</v>
      </c>
      <c r="I45" s="476">
        <f t="shared" si="7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8"/>
        <v/>
      </c>
      <c r="C46" s="473">
        <f>IF(D11="","-",+C45+1)</f>
        <v>2048</v>
      </c>
      <c r="D46" s="484">
        <f>IF(F45+SUM(E$17:E45)=D$10,F45,D$10-SUM(E$17:E45))</f>
        <v>0</v>
      </c>
      <c r="E46" s="485">
        <f t="shared" si="3"/>
        <v>0</v>
      </c>
      <c r="F46" s="486">
        <f t="shared" si="4"/>
        <v>0</v>
      </c>
      <c r="G46" s="487">
        <f t="shared" si="5"/>
        <v>0</v>
      </c>
      <c r="H46" s="456">
        <f t="shared" si="6"/>
        <v>0</v>
      </c>
      <c r="I46" s="476">
        <f t="shared" si="7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8"/>
        <v/>
      </c>
      <c r="C47" s="473">
        <f>IF(D11="","-",+C46+1)</f>
        <v>2049</v>
      </c>
      <c r="D47" s="484">
        <f>IF(F46+SUM(E$17:E46)=D$10,F46,D$10-SUM(E$17:E46))</f>
        <v>0</v>
      </c>
      <c r="E47" s="485">
        <f t="shared" si="3"/>
        <v>0</v>
      </c>
      <c r="F47" s="486">
        <f t="shared" si="4"/>
        <v>0</v>
      </c>
      <c r="G47" s="487">
        <f t="shared" si="5"/>
        <v>0</v>
      </c>
      <c r="H47" s="456">
        <f t="shared" si="6"/>
        <v>0</v>
      </c>
      <c r="I47" s="476">
        <f t="shared" si="7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8"/>
        <v/>
      </c>
      <c r="C48" s="473">
        <f>IF(D11="","-",+C47+1)</f>
        <v>2050</v>
      </c>
      <c r="D48" s="484">
        <f>IF(F47+SUM(E$17:E47)=D$10,F47,D$10-SUM(E$17:E47))</f>
        <v>0</v>
      </c>
      <c r="E48" s="485">
        <f t="shared" si="3"/>
        <v>0</v>
      </c>
      <c r="F48" s="486">
        <f t="shared" si="4"/>
        <v>0</v>
      </c>
      <c r="G48" s="487">
        <f t="shared" si="5"/>
        <v>0</v>
      </c>
      <c r="H48" s="456">
        <f t="shared" si="6"/>
        <v>0</v>
      </c>
      <c r="I48" s="476">
        <f t="shared" si="7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8"/>
        <v/>
      </c>
      <c r="C49" s="473">
        <f>IF(D11="","-",+C48+1)</f>
        <v>2051</v>
      </c>
      <c r="D49" s="484">
        <f>IF(F48+SUM(E$17:E48)=D$10,F48,D$10-SUM(E$17:E48))</f>
        <v>0</v>
      </c>
      <c r="E49" s="485">
        <f t="shared" si="3"/>
        <v>0</v>
      </c>
      <c r="F49" s="486">
        <f t="shared" si="4"/>
        <v>0</v>
      </c>
      <c r="G49" s="487">
        <f t="shared" si="5"/>
        <v>0</v>
      </c>
      <c r="H49" s="456">
        <f t="shared" si="6"/>
        <v>0</v>
      </c>
      <c r="I49" s="476">
        <f t="shared" si="7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8"/>
        <v/>
      </c>
      <c r="C50" s="473">
        <f>IF(D11="","-",+C49+1)</f>
        <v>2052</v>
      </c>
      <c r="D50" s="484">
        <f>IF(F49+SUM(E$17:E49)=D$10,F49,D$10-SUM(E$17:E49))</f>
        <v>0</v>
      </c>
      <c r="E50" s="485">
        <f t="shared" si="3"/>
        <v>0</v>
      </c>
      <c r="F50" s="486">
        <f t="shared" si="4"/>
        <v>0</v>
      </c>
      <c r="G50" s="487">
        <f t="shared" si="5"/>
        <v>0</v>
      </c>
      <c r="H50" s="456">
        <f t="shared" si="6"/>
        <v>0</v>
      </c>
      <c r="I50" s="476">
        <f t="shared" si="7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8"/>
        <v/>
      </c>
      <c r="C51" s="473">
        <f>IF(D11="","-",+C50+1)</f>
        <v>2053</v>
      </c>
      <c r="D51" s="484">
        <f>IF(F50+SUM(E$17:E50)=D$10,F50,D$10-SUM(E$17:E50))</f>
        <v>0</v>
      </c>
      <c r="E51" s="485">
        <f t="shared" si="3"/>
        <v>0</v>
      </c>
      <c r="F51" s="486">
        <f t="shared" si="4"/>
        <v>0</v>
      </c>
      <c r="G51" s="487">
        <f t="shared" si="5"/>
        <v>0</v>
      </c>
      <c r="H51" s="456">
        <f t="shared" si="6"/>
        <v>0</v>
      </c>
      <c r="I51" s="476">
        <f t="shared" si="7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8"/>
        <v/>
      </c>
      <c r="C52" s="473">
        <f>IF(D11="","-",+C51+1)</f>
        <v>2054</v>
      </c>
      <c r="D52" s="484">
        <f>IF(F51+SUM(E$17:E51)=D$10,F51,D$10-SUM(E$17:E51))</f>
        <v>0</v>
      </c>
      <c r="E52" s="485">
        <f t="shared" si="3"/>
        <v>0</v>
      </c>
      <c r="F52" s="486">
        <f t="shared" si="4"/>
        <v>0</v>
      </c>
      <c r="G52" s="487">
        <f t="shared" si="5"/>
        <v>0</v>
      </c>
      <c r="H52" s="456">
        <f t="shared" si="6"/>
        <v>0</v>
      </c>
      <c r="I52" s="476">
        <f t="shared" si="7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8"/>
        <v/>
      </c>
      <c r="C53" s="473">
        <f>IF(D11="","-",+C52+1)</f>
        <v>2055</v>
      </c>
      <c r="D53" s="484">
        <f>IF(F52+SUM(E$17:E52)=D$10,F52,D$10-SUM(E$17:E52))</f>
        <v>0</v>
      </c>
      <c r="E53" s="485">
        <f t="shared" si="3"/>
        <v>0</v>
      </c>
      <c r="F53" s="486">
        <f t="shared" si="4"/>
        <v>0</v>
      </c>
      <c r="G53" s="487">
        <f t="shared" si="5"/>
        <v>0</v>
      </c>
      <c r="H53" s="456">
        <f t="shared" si="6"/>
        <v>0</v>
      </c>
      <c r="I53" s="476">
        <f t="shared" si="7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8"/>
        <v/>
      </c>
      <c r="C54" s="473">
        <f>IF(D11="","-",+C53+1)</f>
        <v>2056</v>
      </c>
      <c r="D54" s="484">
        <f>IF(F53+SUM(E$17:E53)=D$10,F53,D$10-SUM(E$17:E53))</f>
        <v>0</v>
      </c>
      <c r="E54" s="485">
        <f t="shared" si="3"/>
        <v>0</v>
      </c>
      <c r="F54" s="486">
        <f t="shared" si="4"/>
        <v>0</v>
      </c>
      <c r="G54" s="487">
        <f t="shared" si="5"/>
        <v>0</v>
      </c>
      <c r="H54" s="456">
        <f t="shared" si="6"/>
        <v>0</v>
      </c>
      <c r="I54" s="476">
        <f t="shared" si="7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8"/>
        <v/>
      </c>
      <c r="C55" s="473">
        <f>IF(D11="","-",+C54+1)</f>
        <v>2057</v>
      </c>
      <c r="D55" s="484">
        <f>IF(F54+SUM(E$17:E54)=D$10,F54,D$10-SUM(E$17:E54))</f>
        <v>0</v>
      </c>
      <c r="E55" s="485">
        <f t="shared" si="3"/>
        <v>0</v>
      </c>
      <c r="F55" s="486">
        <f t="shared" si="4"/>
        <v>0</v>
      </c>
      <c r="G55" s="487">
        <f t="shared" si="5"/>
        <v>0</v>
      </c>
      <c r="H55" s="456">
        <f t="shared" si="6"/>
        <v>0</v>
      </c>
      <c r="I55" s="476">
        <f t="shared" si="7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8"/>
        <v/>
      </c>
      <c r="C56" s="473">
        <f>IF(D11="","-",+C55+1)</f>
        <v>2058</v>
      </c>
      <c r="D56" s="484">
        <f>IF(F55+SUM(E$17:E55)=D$10,F55,D$10-SUM(E$17:E55))</f>
        <v>0</v>
      </c>
      <c r="E56" s="485">
        <f t="shared" si="3"/>
        <v>0</v>
      </c>
      <c r="F56" s="486">
        <f t="shared" si="4"/>
        <v>0</v>
      </c>
      <c r="G56" s="487">
        <f t="shared" si="5"/>
        <v>0</v>
      </c>
      <c r="H56" s="456">
        <f t="shared" si="6"/>
        <v>0</v>
      </c>
      <c r="I56" s="476">
        <f t="shared" si="7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8"/>
        <v/>
      </c>
      <c r="C57" s="473">
        <f>IF(D11="","-",+C56+1)</f>
        <v>2059</v>
      </c>
      <c r="D57" s="484">
        <f>IF(F56+SUM(E$17:E56)=D$10,F56,D$10-SUM(E$17:E56))</f>
        <v>0</v>
      </c>
      <c r="E57" s="485">
        <f t="shared" si="3"/>
        <v>0</v>
      </c>
      <c r="F57" s="486">
        <f t="shared" si="4"/>
        <v>0</v>
      </c>
      <c r="G57" s="487">
        <f t="shared" si="5"/>
        <v>0</v>
      </c>
      <c r="H57" s="456">
        <f t="shared" si="6"/>
        <v>0</v>
      </c>
      <c r="I57" s="476">
        <f t="shared" si="7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8"/>
        <v/>
      </c>
      <c r="C58" s="473">
        <f>IF(D11="","-",+C57+1)</f>
        <v>2060</v>
      </c>
      <c r="D58" s="484">
        <f>IF(F57+SUM(E$17:E57)=D$10,F57,D$10-SUM(E$17:E57))</f>
        <v>0</v>
      </c>
      <c r="E58" s="485">
        <f t="shared" si="3"/>
        <v>0</v>
      </c>
      <c r="F58" s="486">
        <f t="shared" si="4"/>
        <v>0</v>
      </c>
      <c r="G58" s="487">
        <f t="shared" si="5"/>
        <v>0</v>
      </c>
      <c r="H58" s="456">
        <f t="shared" si="6"/>
        <v>0</v>
      </c>
      <c r="I58" s="476">
        <f t="shared" si="7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8"/>
        <v/>
      </c>
      <c r="C59" s="473">
        <f>IF(D11="","-",+C58+1)</f>
        <v>2061</v>
      </c>
      <c r="D59" s="484">
        <f>IF(F58+SUM(E$17:E58)=D$10,F58,D$10-SUM(E$17:E58))</f>
        <v>0</v>
      </c>
      <c r="E59" s="485">
        <f t="shared" si="3"/>
        <v>0</v>
      </c>
      <c r="F59" s="486">
        <f t="shared" si="4"/>
        <v>0</v>
      </c>
      <c r="G59" s="487">
        <f t="shared" si="5"/>
        <v>0</v>
      </c>
      <c r="H59" s="456">
        <f t="shared" si="6"/>
        <v>0</v>
      </c>
      <c r="I59" s="476">
        <f t="shared" si="7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8"/>
        <v/>
      </c>
      <c r="C60" s="473">
        <f>IF(D11="","-",+C59+1)</f>
        <v>2062</v>
      </c>
      <c r="D60" s="484">
        <f>IF(F59+SUM(E$17:E59)=D$10,F59,D$10-SUM(E$17:E59))</f>
        <v>0</v>
      </c>
      <c r="E60" s="485">
        <f t="shared" si="3"/>
        <v>0</v>
      </c>
      <c r="F60" s="486">
        <f t="shared" si="4"/>
        <v>0</v>
      </c>
      <c r="G60" s="487">
        <f t="shared" si="5"/>
        <v>0</v>
      </c>
      <c r="H60" s="456">
        <f t="shared" si="6"/>
        <v>0</v>
      </c>
      <c r="I60" s="476">
        <f t="shared" si="7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8"/>
        <v/>
      </c>
      <c r="C61" s="473">
        <f>IF(D11="","-",+C60+1)</f>
        <v>2063</v>
      </c>
      <c r="D61" s="484">
        <f>IF(F60+SUM(E$17:E60)=D$10,F60,D$10-SUM(E$17:E60))</f>
        <v>0</v>
      </c>
      <c r="E61" s="485">
        <f t="shared" si="3"/>
        <v>0</v>
      </c>
      <c r="F61" s="486">
        <f t="shared" si="4"/>
        <v>0</v>
      </c>
      <c r="G61" s="487">
        <f t="shared" si="5"/>
        <v>0</v>
      </c>
      <c r="H61" s="456">
        <f t="shared" si="6"/>
        <v>0</v>
      </c>
      <c r="I61" s="476">
        <f t="shared" si="7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8"/>
        <v/>
      </c>
      <c r="C62" s="473">
        <f>IF(D11="","-",+C61+1)</f>
        <v>2064</v>
      </c>
      <c r="D62" s="484">
        <f>IF(F61+SUM(E$17:E61)=D$10,F61,D$10-SUM(E$17:E61))</f>
        <v>0</v>
      </c>
      <c r="E62" s="485">
        <f t="shared" si="3"/>
        <v>0</v>
      </c>
      <c r="F62" s="486">
        <f t="shared" si="4"/>
        <v>0</v>
      </c>
      <c r="G62" s="487">
        <f t="shared" si="5"/>
        <v>0</v>
      </c>
      <c r="H62" s="456">
        <f t="shared" si="6"/>
        <v>0</v>
      </c>
      <c r="I62" s="476">
        <f t="shared" si="7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8"/>
        <v/>
      </c>
      <c r="C63" s="473">
        <f>IF(D11="","-",+C62+1)</f>
        <v>2065</v>
      </c>
      <c r="D63" s="484">
        <f>IF(F62+SUM(E$17:E62)=D$10,F62,D$10-SUM(E$17:E62))</f>
        <v>0</v>
      </c>
      <c r="E63" s="485">
        <f t="shared" si="3"/>
        <v>0</v>
      </c>
      <c r="F63" s="486">
        <f t="shared" si="4"/>
        <v>0</v>
      </c>
      <c r="G63" s="487">
        <f t="shared" si="5"/>
        <v>0</v>
      </c>
      <c r="H63" s="456">
        <f t="shared" si="6"/>
        <v>0</v>
      </c>
      <c r="I63" s="476">
        <f t="shared" si="7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8"/>
        <v/>
      </c>
      <c r="C64" s="473">
        <f>IF(D11="","-",+C63+1)</f>
        <v>2066</v>
      </c>
      <c r="D64" s="484">
        <f>IF(F63+SUM(E$17:E63)=D$10,F63,D$10-SUM(E$17:E63))</f>
        <v>0</v>
      </c>
      <c r="E64" s="485">
        <f t="shared" si="3"/>
        <v>0</v>
      </c>
      <c r="F64" s="486">
        <f t="shared" si="4"/>
        <v>0</v>
      </c>
      <c r="G64" s="487">
        <f t="shared" si="5"/>
        <v>0</v>
      </c>
      <c r="H64" s="456">
        <f t="shared" si="6"/>
        <v>0</v>
      </c>
      <c r="I64" s="476">
        <f t="shared" si="7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8"/>
        <v/>
      </c>
      <c r="C65" s="473">
        <f>IF(D11="","-",+C64+1)</f>
        <v>2067</v>
      </c>
      <c r="D65" s="484">
        <f>IF(F64+SUM(E$17:E64)=D$10,F64,D$10-SUM(E$17:E64))</f>
        <v>0</v>
      </c>
      <c r="E65" s="485">
        <f t="shared" si="3"/>
        <v>0</v>
      </c>
      <c r="F65" s="486">
        <f t="shared" si="4"/>
        <v>0</v>
      </c>
      <c r="G65" s="487">
        <f t="shared" si="5"/>
        <v>0</v>
      </c>
      <c r="H65" s="456">
        <f t="shared" si="6"/>
        <v>0</v>
      </c>
      <c r="I65" s="476">
        <f t="shared" si="7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8"/>
        <v/>
      </c>
      <c r="C66" s="473">
        <f>IF(D11="","-",+C65+1)</f>
        <v>2068</v>
      </c>
      <c r="D66" s="484">
        <f>IF(F65+SUM(E$17:E65)=D$10,F65,D$10-SUM(E$17:E65))</f>
        <v>0</v>
      </c>
      <c r="E66" s="485">
        <f t="shared" si="3"/>
        <v>0</v>
      </c>
      <c r="F66" s="486">
        <f t="shared" si="4"/>
        <v>0</v>
      </c>
      <c r="G66" s="487">
        <f t="shared" si="5"/>
        <v>0</v>
      </c>
      <c r="H66" s="456">
        <f t="shared" si="6"/>
        <v>0</v>
      </c>
      <c r="I66" s="476">
        <f t="shared" si="7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8"/>
        <v/>
      </c>
      <c r="C67" s="473">
        <f>IF(D11="","-",+C66+1)</f>
        <v>2069</v>
      </c>
      <c r="D67" s="484">
        <f>IF(F66+SUM(E$17:E66)=D$10,F66,D$10-SUM(E$17:E66))</f>
        <v>0</v>
      </c>
      <c r="E67" s="485">
        <f t="shared" si="3"/>
        <v>0</v>
      </c>
      <c r="F67" s="486">
        <f t="shared" si="4"/>
        <v>0</v>
      </c>
      <c r="G67" s="487">
        <f t="shared" si="5"/>
        <v>0</v>
      </c>
      <c r="H67" s="456">
        <f t="shared" si="6"/>
        <v>0</v>
      </c>
      <c r="I67" s="476">
        <f t="shared" si="7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8"/>
        <v/>
      </c>
      <c r="C68" s="473">
        <f>IF(D11="","-",+C67+1)</f>
        <v>2070</v>
      </c>
      <c r="D68" s="484">
        <f>IF(F67+SUM(E$17:E67)=D$10,F67,D$10-SUM(E$17:E67))</f>
        <v>0</v>
      </c>
      <c r="E68" s="485">
        <f t="shared" si="3"/>
        <v>0</v>
      </c>
      <c r="F68" s="486">
        <f t="shared" si="4"/>
        <v>0</v>
      </c>
      <c r="G68" s="487">
        <f t="shared" si="5"/>
        <v>0</v>
      </c>
      <c r="H68" s="456">
        <f t="shared" si="6"/>
        <v>0</v>
      </c>
      <c r="I68" s="476">
        <f t="shared" si="7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8"/>
        <v/>
      </c>
      <c r="C69" s="473">
        <f>IF(D11="","-",+C68+1)</f>
        <v>2071</v>
      </c>
      <c r="D69" s="484">
        <f>IF(F68+SUM(E$17:E68)=D$10,F68,D$10-SUM(E$17:E68))</f>
        <v>0</v>
      </c>
      <c r="E69" s="485">
        <f t="shared" si="3"/>
        <v>0</v>
      </c>
      <c r="F69" s="486">
        <f t="shared" si="4"/>
        <v>0</v>
      </c>
      <c r="G69" s="487">
        <f t="shared" si="5"/>
        <v>0</v>
      </c>
      <c r="H69" s="456">
        <f t="shared" si="6"/>
        <v>0</v>
      </c>
      <c r="I69" s="476">
        <f t="shared" si="7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8"/>
        <v/>
      </c>
      <c r="C70" s="473">
        <f>IF(D11="","-",+C69+1)</f>
        <v>2072</v>
      </c>
      <c r="D70" s="484">
        <f>IF(F69+SUM(E$17:E69)=D$10,F69,D$10-SUM(E$17:E69))</f>
        <v>0</v>
      </c>
      <c r="E70" s="485">
        <f t="shared" si="3"/>
        <v>0</v>
      </c>
      <c r="F70" s="486">
        <f t="shared" si="4"/>
        <v>0</v>
      </c>
      <c r="G70" s="487">
        <f t="shared" si="5"/>
        <v>0</v>
      </c>
      <c r="H70" s="456">
        <f t="shared" si="6"/>
        <v>0</v>
      </c>
      <c r="I70" s="476">
        <f t="shared" si="7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8"/>
        <v/>
      </c>
      <c r="C71" s="473">
        <f>IF(D11="","-",+C70+1)</f>
        <v>2073</v>
      </c>
      <c r="D71" s="484">
        <f>IF(F70+SUM(E$17:E70)=D$10,F70,D$10-SUM(E$17:E70))</f>
        <v>0</v>
      </c>
      <c r="E71" s="485">
        <f t="shared" si="3"/>
        <v>0</v>
      </c>
      <c r="F71" s="486">
        <f t="shared" si="4"/>
        <v>0</v>
      </c>
      <c r="G71" s="487">
        <f t="shared" si="5"/>
        <v>0</v>
      </c>
      <c r="H71" s="456">
        <f t="shared" si="6"/>
        <v>0</v>
      </c>
      <c r="I71" s="476">
        <f t="shared" si="7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8"/>
        <v/>
      </c>
      <c r="C72" s="490">
        <f>IF(D11="","-",+C71+1)</f>
        <v>2074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0</v>
      </c>
      <c r="F73" s="348"/>
      <c r="G73" s="348">
        <f>SUM(G17:G72)</f>
        <v>0</v>
      </c>
      <c r="H73" s="348">
        <f>SUM(H17:H72)</f>
        <v>0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28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0</v>
      </c>
      <c r="N87" s="509">
        <f>IF(J92&lt;D11,0,VLOOKUP(J92,C17:O72,11))</f>
        <v>0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0</v>
      </c>
      <c r="N88" s="513">
        <f>IF(J92&lt;D11,0,VLOOKUP(J92,C99:P154,7))</f>
        <v>0</v>
      </c>
      <c r="O88" s="514">
        <f>+N88-M88</f>
        <v>0</v>
      </c>
      <c r="P88" s="233"/>
    </row>
    <row r="89" spans="1:16" ht="13.5" thickBot="1">
      <c r="C89" s="432" t="s">
        <v>92</v>
      </c>
      <c r="D89" s="515"/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0</v>
      </c>
      <c r="N89" s="518">
        <f>+N88-N87</f>
        <v>0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/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f>IF(D11=I10,0,D10)</f>
        <v>0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0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2019</v>
      </c>
      <c r="D99" s="347">
        <v>0</v>
      </c>
      <c r="E99" s="487">
        <f>IF(OR(D11=I10,D92&lt;100000),0,J$96/12*(12-D94))</f>
        <v>0</v>
      </c>
      <c r="F99" s="486">
        <f>IF(D93=C99,+D92-E99,+D99-E99)</f>
        <v>0</v>
      </c>
      <c r="G99" s="618">
        <f>+(F99+D99)/2</f>
        <v>0</v>
      </c>
      <c r="H99" s="618">
        <f>+J$94*G99+E99</f>
        <v>0</v>
      </c>
      <c r="I99" s="618">
        <f>+J$95*G99+E99</f>
        <v>0</v>
      </c>
      <c r="J99" s="479">
        <f>+I99-H99</f>
        <v>0</v>
      </c>
      <c r="K99" s="479"/>
      <c r="L99" s="619"/>
      <c r="M99" s="478">
        <f t="shared" ref="M99:M130" si="9">IF(L99&lt;&gt;0,+H99-L99,0)</f>
        <v>0</v>
      </c>
      <c r="N99" s="619"/>
      <c r="O99" s="478">
        <f t="shared" ref="O99:O130" si="10">IF(N99&lt;&gt;0,+I99-N99,0)</f>
        <v>0</v>
      </c>
      <c r="P99" s="478">
        <f t="shared" ref="P99:P130" si="11">+O99-M99</f>
        <v>0</v>
      </c>
    </row>
    <row r="100" spans="1:16" ht="12.5">
      <c r="B100" s="160" t="str">
        <f>IF(D100=F99,"","IU")</f>
        <v/>
      </c>
      <c r="C100" s="473">
        <f>IF(D93="","-",+C99+1)</f>
        <v>2020</v>
      </c>
      <c r="D100" s="347">
        <f>IF(F99+SUM(E$99:E99)=D$92,F99,D$92-SUM(E$99:E99))</f>
        <v>0</v>
      </c>
      <c r="E100" s="485">
        <f>IF(+J$96&lt;F99,J$96,D100)</f>
        <v>0</v>
      </c>
      <c r="F100" s="486">
        <f>+D100-E100</f>
        <v>0</v>
      </c>
      <c r="G100" s="486">
        <f>+(F100+D100)/2</f>
        <v>0</v>
      </c>
      <c r="H100" s="614">
        <f t="shared" ref="H100:H154" si="12">+J$94*G100+E100</f>
        <v>0</v>
      </c>
      <c r="I100" s="615">
        <f t="shared" ref="I100:I154" si="13">+J$95*G100+E100</f>
        <v>0</v>
      </c>
      <c r="J100" s="479">
        <f t="shared" ref="J100:J130" si="14">+I100-H100</f>
        <v>0</v>
      </c>
      <c r="K100" s="479"/>
      <c r="L100" s="488"/>
      <c r="M100" s="479">
        <f t="shared" si="9"/>
        <v>0</v>
      </c>
      <c r="N100" s="488"/>
      <c r="O100" s="479">
        <f t="shared" si="10"/>
        <v>0</v>
      </c>
      <c r="P100" s="479">
        <f t="shared" si="11"/>
        <v>0</v>
      </c>
    </row>
    <row r="101" spans="1:16" ht="12.5">
      <c r="B101" s="160" t="str">
        <f t="shared" ref="B101:B154" si="15">IF(D101=F100,"","IU")</f>
        <v/>
      </c>
      <c r="C101" s="473">
        <f>IF(D93="","-",+C100+1)</f>
        <v>2021</v>
      </c>
      <c r="D101" s="347">
        <f>IF(F100+SUM(E$99:E100)=D$92,F100,D$92-SUM(E$99:E100))</f>
        <v>0</v>
      </c>
      <c r="E101" s="485">
        <f t="shared" ref="E101:E154" si="16">IF(+J$96&lt;F100,J$96,D101)</f>
        <v>0</v>
      </c>
      <c r="F101" s="486">
        <f t="shared" ref="F101:F154" si="17">+D101-E101</f>
        <v>0</v>
      </c>
      <c r="G101" s="486">
        <f t="shared" ref="G101:G154" si="18">+(F101+D101)/2</f>
        <v>0</v>
      </c>
      <c r="H101" s="614">
        <f t="shared" si="12"/>
        <v>0</v>
      </c>
      <c r="I101" s="615">
        <f t="shared" si="13"/>
        <v>0</v>
      </c>
      <c r="J101" s="479">
        <f t="shared" si="14"/>
        <v>0</v>
      </c>
      <c r="K101" s="479"/>
      <c r="L101" s="488"/>
      <c r="M101" s="479">
        <f t="shared" si="9"/>
        <v>0</v>
      </c>
      <c r="N101" s="488"/>
      <c r="O101" s="479">
        <f t="shared" si="10"/>
        <v>0</v>
      </c>
      <c r="P101" s="479">
        <f t="shared" si="11"/>
        <v>0</v>
      </c>
    </row>
    <row r="102" spans="1:16" ht="12.5">
      <c r="B102" s="160" t="str">
        <f t="shared" si="15"/>
        <v/>
      </c>
      <c r="C102" s="473">
        <f>IF(D93="","-",+C101+1)</f>
        <v>2022</v>
      </c>
      <c r="D102" s="347">
        <f>IF(F101+SUM(E$99:E101)=D$92,F101,D$92-SUM(E$99:E101))</f>
        <v>0</v>
      </c>
      <c r="E102" s="485">
        <f t="shared" si="16"/>
        <v>0</v>
      </c>
      <c r="F102" s="486">
        <f t="shared" si="17"/>
        <v>0</v>
      </c>
      <c r="G102" s="486">
        <f t="shared" si="18"/>
        <v>0</v>
      </c>
      <c r="H102" s="614">
        <f t="shared" si="12"/>
        <v>0</v>
      </c>
      <c r="I102" s="615">
        <f t="shared" si="13"/>
        <v>0</v>
      </c>
      <c r="J102" s="479">
        <f t="shared" si="14"/>
        <v>0</v>
      </c>
      <c r="K102" s="479"/>
      <c r="L102" s="488"/>
      <c r="M102" s="479">
        <f t="shared" si="9"/>
        <v>0</v>
      </c>
      <c r="N102" s="488"/>
      <c r="O102" s="479">
        <f t="shared" si="10"/>
        <v>0</v>
      </c>
      <c r="P102" s="479">
        <f t="shared" si="11"/>
        <v>0</v>
      </c>
    </row>
    <row r="103" spans="1:16" ht="12.5">
      <c r="B103" s="160" t="str">
        <f t="shared" si="15"/>
        <v/>
      </c>
      <c r="C103" s="473">
        <f>IF(D93="","-",+C102+1)</f>
        <v>2023</v>
      </c>
      <c r="D103" s="347">
        <f>IF(F102+SUM(E$99:E102)=D$92,F102,D$92-SUM(E$99:E102))</f>
        <v>0</v>
      </c>
      <c r="E103" s="485">
        <f t="shared" si="16"/>
        <v>0</v>
      </c>
      <c r="F103" s="486">
        <f t="shared" si="17"/>
        <v>0</v>
      </c>
      <c r="G103" s="486">
        <f t="shared" si="18"/>
        <v>0</v>
      </c>
      <c r="H103" s="614">
        <f t="shared" si="12"/>
        <v>0</v>
      </c>
      <c r="I103" s="615">
        <f t="shared" si="13"/>
        <v>0</v>
      </c>
      <c r="J103" s="479">
        <f t="shared" si="14"/>
        <v>0</v>
      </c>
      <c r="K103" s="479"/>
      <c r="L103" s="488"/>
      <c r="M103" s="479">
        <f t="shared" si="9"/>
        <v>0</v>
      </c>
      <c r="N103" s="488"/>
      <c r="O103" s="479">
        <f t="shared" si="10"/>
        <v>0</v>
      </c>
      <c r="P103" s="479">
        <f t="shared" si="11"/>
        <v>0</v>
      </c>
    </row>
    <row r="104" spans="1:16" ht="12.5">
      <c r="B104" s="160" t="str">
        <f t="shared" si="15"/>
        <v/>
      </c>
      <c r="C104" s="473">
        <f>IF(D93="","-",+C103+1)</f>
        <v>2024</v>
      </c>
      <c r="D104" s="347">
        <f>IF(F103+SUM(E$99:E103)=D$92,F103,D$92-SUM(E$99:E103))</f>
        <v>0</v>
      </c>
      <c r="E104" s="485">
        <f t="shared" si="16"/>
        <v>0</v>
      </c>
      <c r="F104" s="486">
        <f t="shared" si="17"/>
        <v>0</v>
      </c>
      <c r="G104" s="486">
        <f t="shared" si="18"/>
        <v>0</v>
      </c>
      <c r="H104" s="614">
        <f t="shared" si="12"/>
        <v>0</v>
      </c>
      <c r="I104" s="615">
        <f t="shared" si="13"/>
        <v>0</v>
      </c>
      <c r="J104" s="479">
        <f t="shared" si="14"/>
        <v>0</v>
      </c>
      <c r="K104" s="479"/>
      <c r="L104" s="488"/>
      <c r="M104" s="479">
        <f t="shared" si="9"/>
        <v>0</v>
      </c>
      <c r="N104" s="488"/>
      <c r="O104" s="479">
        <f t="shared" si="10"/>
        <v>0</v>
      </c>
      <c r="P104" s="479">
        <f t="shared" si="11"/>
        <v>0</v>
      </c>
    </row>
    <row r="105" spans="1:16" ht="12.5">
      <c r="B105" s="160" t="str">
        <f t="shared" si="15"/>
        <v/>
      </c>
      <c r="C105" s="473">
        <f>IF(D93="","-",+C104+1)</f>
        <v>2025</v>
      </c>
      <c r="D105" s="347">
        <f>IF(F104+SUM(E$99:E104)=D$92,F104,D$92-SUM(E$99:E104))</f>
        <v>0</v>
      </c>
      <c r="E105" s="485">
        <f t="shared" si="16"/>
        <v>0</v>
      </c>
      <c r="F105" s="486">
        <f t="shared" si="17"/>
        <v>0</v>
      </c>
      <c r="G105" s="486">
        <f t="shared" si="18"/>
        <v>0</v>
      </c>
      <c r="H105" s="614">
        <f t="shared" si="12"/>
        <v>0</v>
      </c>
      <c r="I105" s="615">
        <f t="shared" si="13"/>
        <v>0</v>
      </c>
      <c r="J105" s="479">
        <f t="shared" si="14"/>
        <v>0</v>
      </c>
      <c r="K105" s="479"/>
      <c r="L105" s="488"/>
      <c r="M105" s="479">
        <f t="shared" si="9"/>
        <v>0</v>
      </c>
      <c r="N105" s="488"/>
      <c r="O105" s="479">
        <f t="shared" si="10"/>
        <v>0</v>
      </c>
      <c r="P105" s="479">
        <f t="shared" si="11"/>
        <v>0</v>
      </c>
    </row>
    <row r="106" spans="1:16" ht="12.5">
      <c r="B106" s="160" t="str">
        <f t="shared" si="15"/>
        <v/>
      </c>
      <c r="C106" s="473">
        <f>IF(D93="","-",+C105+1)</f>
        <v>2026</v>
      </c>
      <c r="D106" s="347">
        <f>IF(F105+SUM(E$99:E105)=D$92,F105,D$92-SUM(E$99:E105))</f>
        <v>0</v>
      </c>
      <c r="E106" s="485">
        <f t="shared" si="16"/>
        <v>0</v>
      </c>
      <c r="F106" s="486">
        <f t="shared" si="17"/>
        <v>0</v>
      </c>
      <c r="G106" s="486">
        <f t="shared" si="18"/>
        <v>0</v>
      </c>
      <c r="H106" s="614">
        <f t="shared" si="12"/>
        <v>0</v>
      </c>
      <c r="I106" s="615">
        <f t="shared" si="13"/>
        <v>0</v>
      </c>
      <c r="J106" s="479">
        <f t="shared" si="14"/>
        <v>0</v>
      </c>
      <c r="K106" s="479"/>
      <c r="L106" s="488"/>
      <c r="M106" s="479">
        <f t="shared" si="9"/>
        <v>0</v>
      </c>
      <c r="N106" s="488"/>
      <c r="O106" s="479">
        <f t="shared" si="10"/>
        <v>0</v>
      </c>
      <c r="P106" s="479">
        <f t="shared" si="11"/>
        <v>0</v>
      </c>
    </row>
    <row r="107" spans="1:16" ht="12.5">
      <c r="B107" s="160" t="str">
        <f t="shared" si="15"/>
        <v/>
      </c>
      <c r="C107" s="473">
        <f>IF(D93="","-",+C106+1)</f>
        <v>2027</v>
      </c>
      <c r="D107" s="347">
        <f>IF(F106+SUM(E$99:E106)=D$92,F106,D$92-SUM(E$99:E106))</f>
        <v>0</v>
      </c>
      <c r="E107" s="485">
        <f t="shared" si="16"/>
        <v>0</v>
      </c>
      <c r="F107" s="486">
        <f t="shared" si="17"/>
        <v>0</v>
      </c>
      <c r="G107" s="486">
        <f t="shared" si="18"/>
        <v>0</v>
      </c>
      <c r="H107" s="614">
        <f t="shared" si="12"/>
        <v>0</v>
      </c>
      <c r="I107" s="615">
        <f t="shared" si="13"/>
        <v>0</v>
      </c>
      <c r="J107" s="479">
        <f t="shared" si="14"/>
        <v>0</v>
      </c>
      <c r="K107" s="479"/>
      <c r="L107" s="488"/>
      <c r="M107" s="479">
        <f t="shared" si="9"/>
        <v>0</v>
      </c>
      <c r="N107" s="488"/>
      <c r="O107" s="479">
        <f t="shared" si="10"/>
        <v>0</v>
      </c>
      <c r="P107" s="479">
        <f t="shared" si="11"/>
        <v>0</v>
      </c>
    </row>
    <row r="108" spans="1:16" ht="12.5">
      <c r="B108" s="160" t="str">
        <f t="shared" si="15"/>
        <v/>
      </c>
      <c r="C108" s="473">
        <f>IF(D93="","-",+C107+1)</f>
        <v>2028</v>
      </c>
      <c r="D108" s="347">
        <f>IF(F107+SUM(E$99:E107)=D$92,F107,D$92-SUM(E$99:E107))</f>
        <v>0</v>
      </c>
      <c r="E108" s="485">
        <f t="shared" si="16"/>
        <v>0</v>
      </c>
      <c r="F108" s="486">
        <f t="shared" si="17"/>
        <v>0</v>
      </c>
      <c r="G108" s="486">
        <f t="shared" si="18"/>
        <v>0</v>
      </c>
      <c r="H108" s="614">
        <f t="shared" si="12"/>
        <v>0</v>
      </c>
      <c r="I108" s="615">
        <f t="shared" si="13"/>
        <v>0</v>
      </c>
      <c r="J108" s="479">
        <f t="shared" si="14"/>
        <v>0</v>
      </c>
      <c r="K108" s="479"/>
      <c r="L108" s="488"/>
      <c r="M108" s="479">
        <f t="shared" si="9"/>
        <v>0</v>
      </c>
      <c r="N108" s="488"/>
      <c r="O108" s="479">
        <f t="shared" si="10"/>
        <v>0</v>
      </c>
      <c r="P108" s="479">
        <f t="shared" si="11"/>
        <v>0</v>
      </c>
    </row>
    <row r="109" spans="1:16" ht="12.5">
      <c r="B109" s="160" t="str">
        <f t="shared" si="15"/>
        <v/>
      </c>
      <c r="C109" s="473">
        <f>IF(D93="","-",+C108+1)</f>
        <v>2029</v>
      </c>
      <c r="D109" s="347">
        <f>IF(F108+SUM(E$99:E108)=D$92,F108,D$92-SUM(E$99:E108))</f>
        <v>0</v>
      </c>
      <c r="E109" s="485">
        <f t="shared" si="16"/>
        <v>0</v>
      </c>
      <c r="F109" s="486">
        <f t="shared" si="17"/>
        <v>0</v>
      </c>
      <c r="G109" s="486">
        <f t="shared" si="18"/>
        <v>0</v>
      </c>
      <c r="H109" s="614">
        <f t="shared" si="12"/>
        <v>0</v>
      </c>
      <c r="I109" s="615">
        <f t="shared" si="13"/>
        <v>0</v>
      </c>
      <c r="J109" s="479">
        <f t="shared" si="14"/>
        <v>0</v>
      </c>
      <c r="K109" s="479"/>
      <c r="L109" s="488"/>
      <c r="M109" s="479">
        <f t="shared" si="9"/>
        <v>0</v>
      </c>
      <c r="N109" s="488"/>
      <c r="O109" s="479">
        <f t="shared" si="10"/>
        <v>0</v>
      </c>
      <c r="P109" s="479">
        <f t="shared" si="11"/>
        <v>0</v>
      </c>
    </row>
    <row r="110" spans="1:16" ht="12.5">
      <c r="B110" s="160" t="str">
        <f t="shared" si="15"/>
        <v/>
      </c>
      <c r="C110" s="473">
        <f>IF(D93="","-",+C109+1)</f>
        <v>2030</v>
      </c>
      <c r="D110" s="347">
        <f>IF(F109+SUM(E$99:E109)=D$92,F109,D$92-SUM(E$99:E109))</f>
        <v>0</v>
      </c>
      <c r="E110" s="485">
        <f t="shared" si="16"/>
        <v>0</v>
      </c>
      <c r="F110" s="486">
        <f t="shared" si="17"/>
        <v>0</v>
      </c>
      <c r="G110" s="486">
        <f t="shared" si="18"/>
        <v>0</v>
      </c>
      <c r="H110" s="614">
        <f t="shared" si="12"/>
        <v>0</v>
      </c>
      <c r="I110" s="615">
        <f t="shared" si="13"/>
        <v>0</v>
      </c>
      <c r="J110" s="479">
        <f t="shared" si="14"/>
        <v>0</v>
      </c>
      <c r="K110" s="479"/>
      <c r="L110" s="488"/>
      <c r="M110" s="479">
        <f t="shared" si="9"/>
        <v>0</v>
      </c>
      <c r="N110" s="488"/>
      <c r="O110" s="479">
        <f t="shared" si="10"/>
        <v>0</v>
      </c>
      <c r="P110" s="479">
        <f t="shared" si="11"/>
        <v>0</v>
      </c>
    </row>
    <row r="111" spans="1:16" ht="12.5">
      <c r="B111" s="160" t="str">
        <f t="shared" si="15"/>
        <v/>
      </c>
      <c r="C111" s="473">
        <f>IF(D93="","-",+C110+1)</f>
        <v>2031</v>
      </c>
      <c r="D111" s="347">
        <f>IF(F110+SUM(E$99:E110)=D$92,F110,D$92-SUM(E$99:E110))</f>
        <v>0</v>
      </c>
      <c r="E111" s="485">
        <f t="shared" si="16"/>
        <v>0</v>
      </c>
      <c r="F111" s="486">
        <f t="shared" si="17"/>
        <v>0</v>
      </c>
      <c r="G111" s="486">
        <f t="shared" si="18"/>
        <v>0</v>
      </c>
      <c r="H111" s="614">
        <f t="shared" si="12"/>
        <v>0</v>
      </c>
      <c r="I111" s="615">
        <f t="shared" si="13"/>
        <v>0</v>
      </c>
      <c r="J111" s="479">
        <f t="shared" si="14"/>
        <v>0</v>
      </c>
      <c r="K111" s="479"/>
      <c r="L111" s="488"/>
      <c r="M111" s="479">
        <f t="shared" si="9"/>
        <v>0</v>
      </c>
      <c r="N111" s="488"/>
      <c r="O111" s="479">
        <f t="shared" si="10"/>
        <v>0</v>
      </c>
      <c r="P111" s="479">
        <f t="shared" si="11"/>
        <v>0</v>
      </c>
    </row>
    <row r="112" spans="1:16" ht="12.5">
      <c r="B112" s="160" t="str">
        <f t="shared" si="15"/>
        <v/>
      </c>
      <c r="C112" s="473">
        <f>IF(D93="","-",+C111+1)</f>
        <v>2032</v>
      </c>
      <c r="D112" s="347">
        <f>IF(F111+SUM(E$99:E111)=D$92,F111,D$92-SUM(E$99:E111))</f>
        <v>0</v>
      </c>
      <c r="E112" s="485">
        <f t="shared" si="16"/>
        <v>0</v>
      </c>
      <c r="F112" s="486">
        <f t="shared" si="17"/>
        <v>0</v>
      </c>
      <c r="G112" s="486">
        <f t="shared" si="18"/>
        <v>0</v>
      </c>
      <c r="H112" s="614">
        <f t="shared" si="12"/>
        <v>0</v>
      </c>
      <c r="I112" s="615">
        <f t="shared" si="13"/>
        <v>0</v>
      </c>
      <c r="J112" s="479">
        <f t="shared" si="14"/>
        <v>0</v>
      </c>
      <c r="K112" s="479"/>
      <c r="L112" s="488"/>
      <c r="M112" s="479">
        <f t="shared" si="9"/>
        <v>0</v>
      </c>
      <c r="N112" s="488"/>
      <c r="O112" s="479">
        <f t="shared" si="10"/>
        <v>0</v>
      </c>
      <c r="P112" s="479">
        <f t="shared" si="11"/>
        <v>0</v>
      </c>
    </row>
    <row r="113" spans="2:16" ht="12.5">
      <c r="B113" s="160" t="str">
        <f t="shared" si="15"/>
        <v/>
      </c>
      <c r="C113" s="473">
        <f>IF(D93="","-",+C112+1)</f>
        <v>2033</v>
      </c>
      <c r="D113" s="347">
        <f>IF(F112+SUM(E$99:E112)=D$92,F112,D$92-SUM(E$99:E112))</f>
        <v>0</v>
      </c>
      <c r="E113" s="485">
        <f t="shared" si="16"/>
        <v>0</v>
      </c>
      <c r="F113" s="486">
        <f t="shared" si="17"/>
        <v>0</v>
      </c>
      <c r="G113" s="486">
        <f t="shared" si="18"/>
        <v>0</v>
      </c>
      <c r="H113" s="614">
        <f t="shared" si="12"/>
        <v>0</v>
      </c>
      <c r="I113" s="615">
        <f t="shared" si="13"/>
        <v>0</v>
      </c>
      <c r="J113" s="479">
        <f t="shared" si="14"/>
        <v>0</v>
      </c>
      <c r="K113" s="479"/>
      <c r="L113" s="488"/>
      <c r="M113" s="479">
        <f t="shared" si="9"/>
        <v>0</v>
      </c>
      <c r="N113" s="488"/>
      <c r="O113" s="479">
        <f t="shared" si="10"/>
        <v>0</v>
      </c>
      <c r="P113" s="479">
        <f t="shared" si="11"/>
        <v>0</v>
      </c>
    </row>
    <row r="114" spans="2:16" ht="12.5">
      <c r="B114" s="160" t="str">
        <f t="shared" si="15"/>
        <v/>
      </c>
      <c r="C114" s="473">
        <f>IF(D93="","-",+C113+1)</f>
        <v>2034</v>
      </c>
      <c r="D114" s="347">
        <f>IF(F113+SUM(E$99:E113)=D$92,F113,D$92-SUM(E$99:E113))</f>
        <v>0</v>
      </c>
      <c r="E114" s="485">
        <f t="shared" si="16"/>
        <v>0</v>
      </c>
      <c r="F114" s="486">
        <f t="shared" si="17"/>
        <v>0</v>
      </c>
      <c r="G114" s="486">
        <f t="shared" si="18"/>
        <v>0</v>
      </c>
      <c r="H114" s="614">
        <f t="shared" si="12"/>
        <v>0</v>
      </c>
      <c r="I114" s="615">
        <f t="shared" si="13"/>
        <v>0</v>
      </c>
      <c r="J114" s="479">
        <f t="shared" si="14"/>
        <v>0</v>
      </c>
      <c r="K114" s="479"/>
      <c r="L114" s="488"/>
      <c r="M114" s="479">
        <f t="shared" si="9"/>
        <v>0</v>
      </c>
      <c r="N114" s="488"/>
      <c r="O114" s="479">
        <f t="shared" si="10"/>
        <v>0</v>
      </c>
      <c r="P114" s="479">
        <f t="shared" si="11"/>
        <v>0</v>
      </c>
    </row>
    <row r="115" spans="2:16" ht="12.5">
      <c r="B115" s="160" t="str">
        <f t="shared" si="15"/>
        <v/>
      </c>
      <c r="C115" s="473">
        <f>IF(D93="","-",+C114+1)</f>
        <v>2035</v>
      </c>
      <c r="D115" s="347">
        <f>IF(F114+SUM(E$99:E114)=D$92,F114,D$92-SUM(E$99:E114))</f>
        <v>0</v>
      </c>
      <c r="E115" s="485">
        <f t="shared" si="16"/>
        <v>0</v>
      </c>
      <c r="F115" s="486">
        <f t="shared" si="17"/>
        <v>0</v>
      </c>
      <c r="G115" s="486">
        <f t="shared" si="18"/>
        <v>0</v>
      </c>
      <c r="H115" s="614">
        <f t="shared" si="12"/>
        <v>0</v>
      </c>
      <c r="I115" s="615">
        <f t="shared" si="13"/>
        <v>0</v>
      </c>
      <c r="J115" s="479">
        <f t="shared" si="14"/>
        <v>0</v>
      </c>
      <c r="K115" s="479"/>
      <c r="L115" s="488"/>
      <c r="M115" s="479">
        <f t="shared" si="9"/>
        <v>0</v>
      </c>
      <c r="N115" s="488"/>
      <c r="O115" s="479">
        <f t="shared" si="10"/>
        <v>0</v>
      </c>
      <c r="P115" s="479">
        <f t="shared" si="11"/>
        <v>0</v>
      </c>
    </row>
    <row r="116" spans="2:16" ht="12.5">
      <c r="B116" s="160" t="str">
        <f t="shared" si="15"/>
        <v/>
      </c>
      <c r="C116" s="473">
        <f>IF(D93="","-",+C115+1)</f>
        <v>2036</v>
      </c>
      <c r="D116" s="347">
        <f>IF(F115+SUM(E$99:E115)=D$92,F115,D$92-SUM(E$99:E115))</f>
        <v>0</v>
      </c>
      <c r="E116" s="485">
        <f t="shared" si="16"/>
        <v>0</v>
      </c>
      <c r="F116" s="486">
        <f t="shared" si="17"/>
        <v>0</v>
      </c>
      <c r="G116" s="486">
        <f t="shared" si="18"/>
        <v>0</v>
      </c>
      <c r="H116" s="614">
        <f t="shared" si="12"/>
        <v>0</v>
      </c>
      <c r="I116" s="615">
        <f t="shared" si="13"/>
        <v>0</v>
      </c>
      <c r="J116" s="479">
        <f t="shared" si="14"/>
        <v>0</v>
      </c>
      <c r="K116" s="479"/>
      <c r="L116" s="488"/>
      <c r="M116" s="479">
        <f t="shared" si="9"/>
        <v>0</v>
      </c>
      <c r="N116" s="488"/>
      <c r="O116" s="479">
        <f t="shared" si="10"/>
        <v>0</v>
      </c>
      <c r="P116" s="479">
        <f t="shared" si="11"/>
        <v>0</v>
      </c>
    </row>
    <row r="117" spans="2:16" ht="12.5">
      <c r="B117" s="160" t="str">
        <f t="shared" si="15"/>
        <v/>
      </c>
      <c r="C117" s="473">
        <f>IF(D93="","-",+C116+1)</f>
        <v>2037</v>
      </c>
      <c r="D117" s="347">
        <f>IF(F116+SUM(E$99:E116)=D$92,F116,D$92-SUM(E$99:E116))</f>
        <v>0</v>
      </c>
      <c r="E117" s="485">
        <f t="shared" si="16"/>
        <v>0</v>
      </c>
      <c r="F117" s="486">
        <f t="shared" si="17"/>
        <v>0</v>
      </c>
      <c r="G117" s="486">
        <f t="shared" si="18"/>
        <v>0</v>
      </c>
      <c r="H117" s="614">
        <f t="shared" si="12"/>
        <v>0</v>
      </c>
      <c r="I117" s="615">
        <f t="shared" si="13"/>
        <v>0</v>
      </c>
      <c r="J117" s="479">
        <f t="shared" si="14"/>
        <v>0</v>
      </c>
      <c r="K117" s="479"/>
      <c r="L117" s="488"/>
      <c r="M117" s="479">
        <f t="shared" si="9"/>
        <v>0</v>
      </c>
      <c r="N117" s="488"/>
      <c r="O117" s="479">
        <f t="shared" si="10"/>
        <v>0</v>
      </c>
      <c r="P117" s="479">
        <f t="shared" si="11"/>
        <v>0</v>
      </c>
    </row>
    <row r="118" spans="2:16" ht="12.5">
      <c r="B118" s="160" t="str">
        <f t="shared" si="15"/>
        <v/>
      </c>
      <c r="C118" s="473">
        <f>IF(D93="","-",+C117+1)</f>
        <v>2038</v>
      </c>
      <c r="D118" s="347">
        <f>IF(F117+SUM(E$99:E117)=D$92,F117,D$92-SUM(E$99:E117))</f>
        <v>0</v>
      </c>
      <c r="E118" s="485">
        <f t="shared" si="16"/>
        <v>0</v>
      </c>
      <c r="F118" s="486">
        <f t="shared" si="17"/>
        <v>0</v>
      </c>
      <c r="G118" s="486">
        <f t="shared" si="18"/>
        <v>0</v>
      </c>
      <c r="H118" s="614">
        <f t="shared" si="12"/>
        <v>0</v>
      </c>
      <c r="I118" s="615">
        <f t="shared" si="13"/>
        <v>0</v>
      </c>
      <c r="J118" s="479">
        <f t="shared" si="14"/>
        <v>0</v>
      </c>
      <c r="K118" s="479"/>
      <c r="L118" s="488"/>
      <c r="M118" s="479">
        <f t="shared" si="9"/>
        <v>0</v>
      </c>
      <c r="N118" s="488"/>
      <c r="O118" s="479">
        <f t="shared" si="10"/>
        <v>0</v>
      </c>
      <c r="P118" s="479">
        <f t="shared" si="11"/>
        <v>0</v>
      </c>
    </row>
    <row r="119" spans="2:16" ht="12.5">
      <c r="B119" s="160" t="str">
        <f t="shared" si="15"/>
        <v/>
      </c>
      <c r="C119" s="473">
        <f>IF(D93="","-",+C118+1)</f>
        <v>2039</v>
      </c>
      <c r="D119" s="347">
        <f>IF(F118+SUM(E$99:E118)=D$92,F118,D$92-SUM(E$99:E118))</f>
        <v>0</v>
      </c>
      <c r="E119" s="485">
        <f t="shared" si="16"/>
        <v>0</v>
      </c>
      <c r="F119" s="486">
        <f t="shared" si="17"/>
        <v>0</v>
      </c>
      <c r="G119" s="486">
        <f t="shared" si="18"/>
        <v>0</v>
      </c>
      <c r="H119" s="614">
        <f t="shared" si="12"/>
        <v>0</v>
      </c>
      <c r="I119" s="615">
        <f t="shared" si="13"/>
        <v>0</v>
      </c>
      <c r="J119" s="479">
        <f t="shared" si="14"/>
        <v>0</v>
      </c>
      <c r="K119" s="479"/>
      <c r="L119" s="488"/>
      <c r="M119" s="479">
        <f t="shared" si="9"/>
        <v>0</v>
      </c>
      <c r="N119" s="488"/>
      <c r="O119" s="479">
        <f t="shared" si="10"/>
        <v>0</v>
      </c>
      <c r="P119" s="479">
        <f t="shared" si="11"/>
        <v>0</v>
      </c>
    </row>
    <row r="120" spans="2:16" ht="12.5">
      <c r="B120" s="160" t="str">
        <f t="shared" si="15"/>
        <v/>
      </c>
      <c r="C120" s="473">
        <f>IF(D93="","-",+C119+1)</f>
        <v>2040</v>
      </c>
      <c r="D120" s="347">
        <f>IF(F119+SUM(E$99:E119)=D$92,F119,D$92-SUM(E$99:E119))</f>
        <v>0</v>
      </c>
      <c r="E120" s="485">
        <f t="shared" si="16"/>
        <v>0</v>
      </c>
      <c r="F120" s="486">
        <f t="shared" si="17"/>
        <v>0</v>
      </c>
      <c r="G120" s="486">
        <f t="shared" si="18"/>
        <v>0</v>
      </c>
      <c r="H120" s="614">
        <f t="shared" si="12"/>
        <v>0</v>
      </c>
      <c r="I120" s="615">
        <f t="shared" si="13"/>
        <v>0</v>
      </c>
      <c r="J120" s="479">
        <f t="shared" si="14"/>
        <v>0</v>
      </c>
      <c r="K120" s="479"/>
      <c r="L120" s="488"/>
      <c r="M120" s="479">
        <f t="shared" si="9"/>
        <v>0</v>
      </c>
      <c r="N120" s="488"/>
      <c r="O120" s="479">
        <f t="shared" si="10"/>
        <v>0</v>
      </c>
      <c r="P120" s="479">
        <f t="shared" si="11"/>
        <v>0</v>
      </c>
    </row>
    <row r="121" spans="2:16" ht="12.5">
      <c r="B121" s="160" t="str">
        <f t="shared" si="15"/>
        <v/>
      </c>
      <c r="C121" s="473">
        <f>IF(D93="","-",+C120+1)</f>
        <v>2041</v>
      </c>
      <c r="D121" s="347">
        <f>IF(F120+SUM(E$99:E120)=D$92,F120,D$92-SUM(E$99:E120))</f>
        <v>0</v>
      </c>
      <c r="E121" s="485">
        <f t="shared" si="16"/>
        <v>0</v>
      </c>
      <c r="F121" s="486">
        <f t="shared" si="17"/>
        <v>0</v>
      </c>
      <c r="G121" s="486">
        <f t="shared" si="18"/>
        <v>0</v>
      </c>
      <c r="H121" s="614">
        <f t="shared" si="12"/>
        <v>0</v>
      </c>
      <c r="I121" s="615">
        <f t="shared" si="13"/>
        <v>0</v>
      </c>
      <c r="J121" s="479">
        <f t="shared" si="14"/>
        <v>0</v>
      </c>
      <c r="K121" s="479"/>
      <c r="L121" s="488"/>
      <c r="M121" s="479">
        <f t="shared" si="9"/>
        <v>0</v>
      </c>
      <c r="N121" s="488"/>
      <c r="O121" s="479">
        <f t="shared" si="10"/>
        <v>0</v>
      </c>
      <c r="P121" s="479">
        <f t="shared" si="11"/>
        <v>0</v>
      </c>
    </row>
    <row r="122" spans="2:16" ht="12.5">
      <c r="B122" s="160" t="str">
        <f t="shared" si="15"/>
        <v/>
      </c>
      <c r="C122" s="473">
        <f>IF(D93="","-",+C121+1)</f>
        <v>2042</v>
      </c>
      <c r="D122" s="347">
        <f>IF(F121+SUM(E$99:E121)=D$92,F121,D$92-SUM(E$99:E121))</f>
        <v>0</v>
      </c>
      <c r="E122" s="485">
        <f t="shared" si="16"/>
        <v>0</v>
      </c>
      <c r="F122" s="486">
        <f t="shared" si="17"/>
        <v>0</v>
      </c>
      <c r="G122" s="486">
        <f t="shared" si="18"/>
        <v>0</v>
      </c>
      <c r="H122" s="614">
        <f t="shared" si="12"/>
        <v>0</v>
      </c>
      <c r="I122" s="615">
        <f t="shared" si="13"/>
        <v>0</v>
      </c>
      <c r="J122" s="479">
        <f t="shared" si="14"/>
        <v>0</v>
      </c>
      <c r="K122" s="479"/>
      <c r="L122" s="488"/>
      <c r="M122" s="479">
        <f t="shared" si="9"/>
        <v>0</v>
      </c>
      <c r="N122" s="488"/>
      <c r="O122" s="479">
        <f t="shared" si="10"/>
        <v>0</v>
      </c>
      <c r="P122" s="479">
        <f t="shared" si="11"/>
        <v>0</v>
      </c>
    </row>
    <row r="123" spans="2:16" ht="12.5">
      <c r="B123" s="160" t="str">
        <f t="shared" si="15"/>
        <v/>
      </c>
      <c r="C123" s="473">
        <f>IF(D93="","-",+C122+1)</f>
        <v>2043</v>
      </c>
      <c r="D123" s="347">
        <f>IF(F122+SUM(E$99:E122)=D$92,F122,D$92-SUM(E$99:E122))</f>
        <v>0</v>
      </c>
      <c r="E123" s="485">
        <f t="shared" si="16"/>
        <v>0</v>
      </c>
      <c r="F123" s="486">
        <f t="shared" si="17"/>
        <v>0</v>
      </c>
      <c r="G123" s="486">
        <f t="shared" si="18"/>
        <v>0</v>
      </c>
      <c r="H123" s="614">
        <f t="shared" si="12"/>
        <v>0</v>
      </c>
      <c r="I123" s="615">
        <f t="shared" si="13"/>
        <v>0</v>
      </c>
      <c r="J123" s="479">
        <f t="shared" si="14"/>
        <v>0</v>
      </c>
      <c r="K123" s="479"/>
      <c r="L123" s="488"/>
      <c r="M123" s="479">
        <f t="shared" si="9"/>
        <v>0</v>
      </c>
      <c r="N123" s="488"/>
      <c r="O123" s="479">
        <f t="shared" si="10"/>
        <v>0</v>
      </c>
      <c r="P123" s="479">
        <f t="shared" si="11"/>
        <v>0</v>
      </c>
    </row>
    <row r="124" spans="2:16" ht="12.5">
      <c r="B124" s="160" t="str">
        <f t="shared" si="15"/>
        <v/>
      </c>
      <c r="C124" s="473">
        <f>IF(D93="","-",+C123+1)</f>
        <v>2044</v>
      </c>
      <c r="D124" s="347">
        <f>IF(F123+SUM(E$99:E123)=D$92,F123,D$92-SUM(E$99:E123))</f>
        <v>0</v>
      </c>
      <c r="E124" s="485">
        <f t="shared" si="16"/>
        <v>0</v>
      </c>
      <c r="F124" s="486">
        <f t="shared" si="17"/>
        <v>0</v>
      </c>
      <c r="G124" s="486">
        <f t="shared" si="18"/>
        <v>0</v>
      </c>
      <c r="H124" s="614">
        <f t="shared" si="12"/>
        <v>0</v>
      </c>
      <c r="I124" s="615">
        <f t="shared" si="13"/>
        <v>0</v>
      </c>
      <c r="J124" s="479">
        <f t="shared" si="14"/>
        <v>0</v>
      </c>
      <c r="K124" s="479"/>
      <c r="L124" s="488"/>
      <c r="M124" s="479">
        <f t="shared" si="9"/>
        <v>0</v>
      </c>
      <c r="N124" s="488"/>
      <c r="O124" s="479">
        <f t="shared" si="10"/>
        <v>0</v>
      </c>
      <c r="P124" s="479">
        <f t="shared" si="11"/>
        <v>0</v>
      </c>
    </row>
    <row r="125" spans="2:16" ht="12.5">
      <c r="B125" s="160" t="str">
        <f t="shared" si="15"/>
        <v/>
      </c>
      <c r="C125" s="473">
        <f>IF(D93="","-",+C124+1)</f>
        <v>2045</v>
      </c>
      <c r="D125" s="347">
        <f>IF(F124+SUM(E$99:E124)=D$92,F124,D$92-SUM(E$99:E124))</f>
        <v>0</v>
      </c>
      <c r="E125" s="485">
        <f t="shared" si="16"/>
        <v>0</v>
      </c>
      <c r="F125" s="486">
        <f t="shared" si="17"/>
        <v>0</v>
      </c>
      <c r="G125" s="486">
        <f t="shared" si="18"/>
        <v>0</v>
      </c>
      <c r="H125" s="614">
        <f t="shared" si="12"/>
        <v>0</v>
      </c>
      <c r="I125" s="615">
        <f t="shared" si="13"/>
        <v>0</v>
      </c>
      <c r="J125" s="479">
        <f t="shared" si="14"/>
        <v>0</v>
      </c>
      <c r="K125" s="479"/>
      <c r="L125" s="488"/>
      <c r="M125" s="479">
        <f t="shared" si="9"/>
        <v>0</v>
      </c>
      <c r="N125" s="488"/>
      <c r="O125" s="479">
        <f t="shared" si="10"/>
        <v>0</v>
      </c>
      <c r="P125" s="479">
        <f t="shared" si="11"/>
        <v>0</v>
      </c>
    </row>
    <row r="126" spans="2:16" ht="12.5">
      <c r="B126" s="160" t="str">
        <f t="shared" si="15"/>
        <v/>
      </c>
      <c r="C126" s="473">
        <f>IF(D93="","-",+C125+1)</f>
        <v>2046</v>
      </c>
      <c r="D126" s="347">
        <f>IF(F125+SUM(E$99:E125)=D$92,F125,D$92-SUM(E$99:E125))</f>
        <v>0</v>
      </c>
      <c r="E126" s="485">
        <f t="shared" si="16"/>
        <v>0</v>
      </c>
      <c r="F126" s="486">
        <f t="shared" si="17"/>
        <v>0</v>
      </c>
      <c r="G126" s="486">
        <f t="shared" si="18"/>
        <v>0</v>
      </c>
      <c r="H126" s="614">
        <f t="shared" si="12"/>
        <v>0</v>
      </c>
      <c r="I126" s="615">
        <f t="shared" si="13"/>
        <v>0</v>
      </c>
      <c r="J126" s="479">
        <f t="shared" si="14"/>
        <v>0</v>
      </c>
      <c r="K126" s="479"/>
      <c r="L126" s="488"/>
      <c r="M126" s="479">
        <f t="shared" si="9"/>
        <v>0</v>
      </c>
      <c r="N126" s="488"/>
      <c r="O126" s="479">
        <f t="shared" si="10"/>
        <v>0</v>
      </c>
      <c r="P126" s="479">
        <f t="shared" si="11"/>
        <v>0</v>
      </c>
    </row>
    <row r="127" spans="2:16" ht="12.5">
      <c r="B127" s="160" t="str">
        <f t="shared" si="15"/>
        <v/>
      </c>
      <c r="C127" s="473">
        <f>IF(D93="","-",+C126+1)</f>
        <v>2047</v>
      </c>
      <c r="D127" s="347">
        <f>IF(F126+SUM(E$99:E126)=D$92,F126,D$92-SUM(E$99:E126))</f>
        <v>0</v>
      </c>
      <c r="E127" s="485">
        <f t="shared" si="16"/>
        <v>0</v>
      </c>
      <c r="F127" s="486">
        <f t="shared" si="17"/>
        <v>0</v>
      </c>
      <c r="G127" s="486">
        <f t="shared" si="18"/>
        <v>0</v>
      </c>
      <c r="H127" s="614">
        <f t="shared" si="12"/>
        <v>0</v>
      </c>
      <c r="I127" s="615">
        <f t="shared" si="13"/>
        <v>0</v>
      </c>
      <c r="J127" s="479">
        <f t="shared" si="14"/>
        <v>0</v>
      </c>
      <c r="K127" s="479"/>
      <c r="L127" s="488"/>
      <c r="M127" s="479">
        <f t="shared" si="9"/>
        <v>0</v>
      </c>
      <c r="N127" s="488"/>
      <c r="O127" s="479">
        <f t="shared" si="10"/>
        <v>0</v>
      </c>
      <c r="P127" s="479">
        <f t="shared" si="11"/>
        <v>0</v>
      </c>
    </row>
    <row r="128" spans="2:16" ht="12.5">
      <c r="B128" s="160" t="str">
        <f t="shared" si="15"/>
        <v/>
      </c>
      <c r="C128" s="473">
        <f>IF(D93="","-",+C127+1)</f>
        <v>2048</v>
      </c>
      <c r="D128" s="347">
        <f>IF(F127+SUM(E$99:E127)=D$92,F127,D$92-SUM(E$99:E127))</f>
        <v>0</v>
      </c>
      <c r="E128" s="485">
        <f t="shared" si="16"/>
        <v>0</v>
      </c>
      <c r="F128" s="486">
        <f t="shared" si="17"/>
        <v>0</v>
      </c>
      <c r="G128" s="486">
        <f t="shared" si="18"/>
        <v>0</v>
      </c>
      <c r="H128" s="614">
        <f t="shared" si="12"/>
        <v>0</v>
      </c>
      <c r="I128" s="615">
        <f t="shared" si="13"/>
        <v>0</v>
      </c>
      <c r="J128" s="479">
        <f t="shared" si="14"/>
        <v>0</v>
      </c>
      <c r="K128" s="479"/>
      <c r="L128" s="488"/>
      <c r="M128" s="479">
        <f t="shared" si="9"/>
        <v>0</v>
      </c>
      <c r="N128" s="488"/>
      <c r="O128" s="479">
        <f t="shared" si="10"/>
        <v>0</v>
      </c>
      <c r="P128" s="479">
        <f t="shared" si="11"/>
        <v>0</v>
      </c>
    </row>
    <row r="129" spans="2:16" ht="12.5">
      <c r="B129" s="160" t="str">
        <f t="shared" si="15"/>
        <v/>
      </c>
      <c r="C129" s="473">
        <f>IF(D93="","-",+C128+1)</f>
        <v>2049</v>
      </c>
      <c r="D129" s="347">
        <f>IF(F128+SUM(E$99:E128)=D$92,F128,D$92-SUM(E$99:E128))</f>
        <v>0</v>
      </c>
      <c r="E129" s="485">
        <f t="shared" si="16"/>
        <v>0</v>
      </c>
      <c r="F129" s="486">
        <f t="shared" si="17"/>
        <v>0</v>
      </c>
      <c r="G129" s="486">
        <f t="shared" si="18"/>
        <v>0</v>
      </c>
      <c r="H129" s="614">
        <f t="shared" si="12"/>
        <v>0</v>
      </c>
      <c r="I129" s="615">
        <f t="shared" si="13"/>
        <v>0</v>
      </c>
      <c r="J129" s="479">
        <f t="shared" si="14"/>
        <v>0</v>
      </c>
      <c r="K129" s="479"/>
      <c r="L129" s="488"/>
      <c r="M129" s="479">
        <f t="shared" si="9"/>
        <v>0</v>
      </c>
      <c r="N129" s="488"/>
      <c r="O129" s="479">
        <f t="shared" si="10"/>
        <v>0</v>
      </c>
      <c r="P129" s="479">
        <f t="shared" si="11"/>
        <v>0</v>
      </c>
    </row>
    <row r="130" spans="2:16" ht="12.5">
      <c r="B130" s="160" t="str">
        <f t="shared" si="15"/>
        <v/>
      </c>
      <c r="C130" s="473">
        <f>IF(D93="","-",+C129+1)</f>
        <v>2050</v>
      </c>
      <c r="D130" s="347">
        <f>IF(F129+SUM(E$99:E129)=D$92,F129,D$92-SUM(E$99:E129))</f>
        <v>0</v>
      </c>
      <c r="E130" s="485">
        <f t="shared" si="16"/>
        <v>0</v>
      </c>
      <c r="F130" s="486">
        <f t="shared" si="17"/>
        <v>0</v>
      </c>
      <c r="G130" s="486">
        <f t="shared" si="18"/>
        <v>0</v>
      </c>
      <c r="H130" s="614">
        <f t="shared" si="12"/>
        <v>0</v>
      </c>
      <c r="I130" s="615">
        <f t="shared" si="13"/>
        <v>0</v>
      </c>
      <c r="J130" s="479">
        <f t="shared" si="14"/>
        <v>0</v>
      </c>
      <c r="K130" s="479"/>
      <c r="L130" s="488"/>
      <c r="M130" s="479">
        <f t="shared" si="9"/>
        <v>0</v>
      </c>
      <c r="N130" s="488"/>
      <c r="O130" s="479">
        <f t="shared" si="10"/>
        <v>0</v>
      </c>
      <c r="P130" s="479">
        <f t="shared" si="11"/>
        <v>0</v>
      </c>
    </row>
    <row r="131" spans="2:16" ht="12.5">
      <c r="B131" s="160" t="str">
        <f t="shared" si="15"/>
        <v/>
      </c>
      <c r="C131" s="473">
        <f>IF(D93="","-",+C130+1)</f>
        <v>2051</v>
      </c>
      <c r="D131" s="347">
        <f>IF(F130+SUM(E$99:E130)=D$92,F130,D$92-SUM(E$99:E130))</f>
        <v>0</v>
      </c>
      <c r="E131" s="485">
        <f t="shared" si="16"/>
        <v>0</v>
      </c>
      <c r="F131" s="486">
        <f t="shared" si="17"/>
        <v>0</v>
      </c>
      <c r="G131" s="486">
        <f t="shared" si="18"/>
        <v>0</v>
      </c>
      <c r="H131" s="614">
        <f t="shared" si="12"/>
        <v>0</v>
      </c>
      <c r="I131" s="615">
        <f t="shared" si="13"/>
        <v>0</v>
      </c>
      <c r="J131" s="479">
        <f t="shared" ref="J131:J154" si="19">+I541-H541</f>
        <v>0</v>
      </c>
      <c r="K131" s="479"/>
      <c r="L131" s="488"/>
      <c r="M131" s="479">
        <f t="shared" ref="M131:M154" si="20">IF(L541&lt;&gt;0,+H541-L541,0)</f>
        <v>0</v>
      </c>
      <c r="N131" s="488"/>
      <c r="O131" s="479">
        <f t="shared" ref="O131:O154" si="21">IF(N541&lt;&gt;0,+I541-N541,0)</f>
        <v>0</v>
      </c>
      <c r="P131" s="479">
        <f t="shared" ref="P131:P154" si="22">+O541-M541</f>
        <v>0</v>
      </c>
    </row>
    <row r="132" spans="2:16" ht="12.5">
      <c r="B132" s="160" t="str">
        <f t="shared" si="15"/>
        <v/>
      </c>
      <c r="C132" s="473">
        <f>IF(D93="","-",+C131+1)</f>
        <v>2052</v>
      </c>
      <c r="D132" s="347">
        <f>IF(F131+SUM(E$99:E131)=D$92,F131,D$92-SUM(E$99:E131))</f>
        <v>0</v>
      </c>
      <c r="E132" s="485">
        <f t="shared" si="16"/>
        <v>0</v>
      </c>
      <c r="F132" s="486">
        <f t="shared" si="17"/>
        <v>0</v>
      </c>
      <c r="G132" s="486">
        <f t="shared" si="18"/>
        <v>0</v>
      </c>
      <c r="H132" s="614">
        <f t="shared" si="12"/>
        <v>0</v>
      </c>
      <c r="I132" s="615">
        <f t="shared" si="13"/>
        <v>0</v>
      </c>
      <c r="J132" s="479">
        <f t="shared" si="19"/>
        <v>0</v>
      </c>
      <c r="K132" s="479"/>
      <c r="L132" s="488"/>
      <c r="M132" s="479">
        <f t="shared" si="20"/>
        <v>0</v>
      </c>
      <c r="N132" s="488"/>
      <c r="O132" s="479">
        <f t="shared" si="21"/>
        <v>0</v>
      </c>
      <c r="P132" s="479">
        <f t="shared" si="22"/>
        <v>0</v>
      </c>
    </row>
    <row r="133" spans="2:16" ht="12.5">
      <c r="B133" s="160" t="str">
        <f t="shared" si="15"/>
        <v/>
      </c>
      <c r="C133" s="473">
        <f>IF(D93="","-",+C132+1)</f>
        <v>2053</v>
      </c>
      <c r="D133" s="347">
        <f>IF(F132+SUM(E$99:E132)=D$92,F132,D$92-SUM(E$99:E132))</f>
        <v>0</v>
      </c>
      <c r="E133" s="485">
        <f t="shared" si="16"/>
        <v>0</v>
      </c>
      <c r="F133" s="486">
        <f t="shared" si="17"/>
        <v>0</v>
      </c>
      <c r="G133" s="486">
        <f t="shared" si="18"/>
        <v>0</v>
      </c>
      <c r="H133" s="614">
        <f t="shared" si="12"/>
        <v>0</v>
      </c>
      <c r="I133" s="615">
        <f t="shared" si="13"/>
        <v>0</v>
      </c>
      <c r="J133" s="479">
        <f t="shared" si="19"/>
        <v>0</v>
      </c>
      <c r="K133" s="479"/>
      <c r="L133" s="488"/>
      <c r="M133" s="479">
        <f t="shared" si="20"/>
        <v>0</v>
      </c>
      <c r="N133" s="488"/>
      <c r="O133" s="479">
        <f t="shared" si="21"/>
        <v>0</v>
      </c>
      <c r="P133" s="479">
        <f t="shared" si="22"/>
        <v>0</v>
      </c>
    </row>
    <row r="134" spans="2:16" ht="12.5">
      <c r="B134" s="160" t="str">
        <f t="shared" si="15"/>
        <v/>
      </c>
      <c r="C134" s="473">
        <f>IF(D93="","-",+C133+1)</f>
        <v>2054</v>
      </c>
      <c r="D134" s="347">
        <f>IF(F133+SUM(E$99:E133)=D$92,F133,D$92-SUM(E$99:E133))</f>
        <v>0</v>
      </c>
      <c r="E134" s="485">
        <f t="shared" si="16"/>
        <v>0</v>
      </c>
      <c r="F134" s="486">
        <f t="shared" si="17"/>
        <v>0</v>
      </c>
      <c r="G134" s="486">
        <f t="shared" si="18"/>
        <v>0</v>
      </c>
      <c r="H134" s="614">
        <f t="shared" si="12"/>
        <v>0</v>
      </c>
      <c r="I134" s="615">
        <f t="shared" si="13"/>
        <v>0</v>
      </c>
      <c r="J134" s="479">
        <f t="shared" si="19"/>
        <v>0</v>
      </c>
      <c r="K134" s="479"/>
      <c r="L134" s="488"/>
      <c r="M134" s="479">
        <f t="shared" si="20"/>
        <v>0</v>
      </c>
      <c r="N134" s="488"/>
      <c r="O134" s="479">
        <f t="shared" si="21"/>
        <v>0</v>
      </c>
      <c r="P134" s="479">
        <f t="shared" si="22"/>
        <v>0</v>
      </c>
    </row>
    <row r="135" spans="2:16" ht="12.5">
      <c r="B135" s="160" t="str">
        <f t="shared" si="15"/>
        <v/>
      </c>
      <c r="C135" s="473">
        <f>IF(D93="","-",+C134+1)</f>
        <v>2055</v>
      </c>
      <c r="D135" s="347">
        <f>IF(F134+SUM(E$99:E134)=D$92,F134,D$92-SUM(E$99:E134))</f>
        <v>0</v>
      </c>
      <c r="E135" s="485">
        <f t="shared" si="16"/>
        <v>0</v>
      </c>
      <c r="F135" s="486">
        <f t="shared" si="17"/>
        <v>0</v>
      </c>
      <c r="G135" s="486">
        <f t="shared" si="18"/>
        <v>0</v>
      </c>
      <c r="H135" s="614">
        <f t="shared" si="12"/>
        <v>0</v>
      </c>
      <c r="I135" s="615">
        <f t="shared" si="13"/>
        <v>0</v>
      </c>
      <c r="J135" s="479">
        <f t="shared" si="19"/>
        <v>0</v>
      </c>
      <c r="K135" s="479"/>
      <c r="L135" s="488"/>
      <c r="M135" s="479">
        <f t="shared" si="20"/>
        <v>0</v>
      </c>
      <c r="N135" s="488"/>
      <c r="O135" s="479">
        <f t="shared" si="21"/>
        <v>0</v>
      </c>
      <c r="P135" s="479">
        <f t="shared" si="22"/>
        <v>0</v>
      </c>
    </row>
    <row r="136" spans="2:16" ht="12.5">
      <c r="B136" s="160" t="str">
        <f t="shared" si="15"/>
        <v/>
      </c>
      <c r="C136" s="473">
        <f>IF(D93="","-",+C135+1)</f>
        <v>2056</v>
      </c>
      <c r="D136" s="347">
        <f>IF(F135+SUM(E$99:E135)=D$92,F135,D$92-SUM(E$99:E135))</f>
        <v>0</v>
      </c>
      <c r="E136" s="485">
        <f t="shared" si="16"/>
        <v>0</v>
      </c>
      <c r="F136" s="486">
        <f t="shared" si="17"/>
        <v>0</v>
      </c>
      <c r="G136" s="486">
        <f t="shared" si="18"/>
        <v>0</v>
      </c>
      <c r="H136" s="614">
        <f t="shared" si="12"/>
        <v>0</v>
      </c>
      <c r="I136" s="615">
        <f t="shared" si="13"/>
        <v>0</v>
      </c>
      <c r="J136" s="479">
        <f t="shared" si="19"/>
        <v>0</v>
      </c>
      <c r="K136" s="479"/>
      <c r="L136" s="488"/>
      <c r="M136" s="479">
        <f t="shared" si="20"/>
        <v>0</v>
      </c>
      <c r="N136" s="488"/>
      <c r="O136" s="479">
        <f t="shared" si="21"/>
        <v>0</v>
      </c>
      <c r="P136" s="479">
        <f t="shared" si="22"/>
        <v>0</v>
      </c>
    </row>
    <row r="137" spans="2:16" ht="12.5">
      <c r="B137" s="160" t="str">
        <f t="shared" si="15"/>
        <v/>
      </c>
      <c r="C137" s="473">
        <f>IF(D93="","-",+C136+1)</f>
        <v>2057</v>
      </c>
      <c r="D137" s="347">
        <f>IF(F136+SUM(E$99:E136)=D$92,F136,D$92-SUM(E$99:E136))</f>
        <v>0</v>
      </c>
      <c r="E137" s="485">
        <f t="shared" si="16"/>
        <v>0</v>
      </c>
      <c r="F137" s="486">
        <f t="shared" si="17"/>
        <v>0</v>
      </c>
      <c r="G137" s="486">
        <f t="shared" si="18"/>
        <v>0</v>
      </c>
      <c r="H137" s="614">
        <f t="shared" si="12"/>
        <v>0</v>
      </c>
      <c r="I137" s="615">
        <f t="shared" si="13"/>
        <v>0</v>
      </c>
      <c r="J137" s="479">
        <f t="shared" si="19"/>
        <v>0</v>
      </c>
      <c r="K137" s="479"/>
      <c r="L137" s="488"/>
      <c r="M137" s="479">
        <f t="shared" si="20"/>
        <v>0</v>
      </c>
      <c r="N137" s="488"/>
      <c r="O137" s="479">
        <f t="shared" si="21"/>
        <v>0</v>
      </c>
      <c r="P137" s="479">
        <f t="shared" si="22"/>
        <v>0</v>
      </c>
    </row>
    <row r="138" spans="2:16" ht="12.5">
      <c r="B138" s="160" t="str">
        <f t="shared" si="15"/>
        <v/>
      </c>
      <c r="C138" s="473">
        <f>IF(D93="","-",+C137+1)</f>
        <v>2058</v>
      </c>
      <c r="D138" s="347">
        <f>IF(F137+SUM(E$99:E137)=D$92,F137,D$92-SUM(E$99:E137))</f>
        <v>0</v>
      </c>
      <c r="E138" s="485">
        <f t="shared" si="16"/>
        <v>0</v>
      </c>
      <c r="F138" s="486">
        <f t="shared" si="17"/>
        <v>0</v>
      </c>
      <c r="G138" s="486">
        <f t="shared" si="18"/>
        <v>0</v>
      </c>
      <c r="H138" s="614">
        <f t="shared" si="12"/>
        <v>0</v>
      </c>
      <c r="I138" s="615">
        <f t="shared" si="13"/>
        <v>0</v>
      </c>
      <c r="J138" s="479">
        <f t="shared" si="19"/>
        <v>0</v>
      </c>
      <c r="K138" s="479"/>
      <c r="L138" s="488"/>
      <c r="M138" s="479">
        <f t="shared" si="20"/>
        <v>0</v>
      </c>
      <c r="N138" s="488"/>
      <c r="O138" s="479">
        <f t="shared" si="21"/>
        <v>0</v>
      </c>
      <c r="P138" s="479">
        <f t="shared" si="22"/>
        <v>0</v>
      </c>
    </row>
    <row r="139" spans="2:16" ht="12.5">
      <c r="B139" s="160" t="str">
        <f t="shared" si="15"/>
        <v/>
      </c>
      <c r="C139" s="473">
        <f>IF(D93="","-",+C138+1)</f>
        <v>2059</v>
      </c>
      <c r="D139" s="347">
        <f>IF(F138+SUM(E$99:E138)=D$92,F138,D$92-SUM(E$99:E138))</f>
        <v>0</v>
      </c>
      <c r="E139" s="485">
        <f t="shared" si="16"/>
        <v>0</v>
      </c>
      <c r="F139" s="486">
        <f t="shared" si="17"/>
        <v>0</v>
      </c>
      <c r="G139" s="486">
        <f t="shared" si="18"/>
        <v>0</v>
      </c>
      <c r="H139" s="614">
        <f t="shared" si="12"/>
        <v>0</v>
      </c>
      <c r="I139" s="615">
        <f t="shared" si="13"/>
        <v>0</v>
      </c>
      <c r="J139" s="479">
        <f t="shared" si="19"/>
        <v>0</v>
      </c>
      <c r="K139" s="479"/>
      <c r="L139" s="488"/>
      <c r="M139" s="479">
        <f t="shared" si="20"/>
        <v>0</v>
      </c>
      <c r="N139" s="488"/>
      <c r="O139" s="479">
        <f t="shared" si="21"/>
        <v>0</v>
      </c>
      <c r="P139" s="479">
        <f t="shared" si="22"/>
        <v>0</v>
      </c>
    </row>
    <row r="140" spans="2:16" ht="12.5">
      <c r="B140" s="160" t="str">
        <f t="shared" si="15"/>
        <v/>
      </c>
      <c r="C140" s="473">
        <f>IF(D93="","-",+C139+1)</f>
        <v>2060</v>
      </c>
      <c r="D140" s="347">
        <f>IF(F139+SUM(E$99:E139)=D$92,F139,D$92-SUM(E$99:E139))</f>
        <v>0</v>
      </c>
      <c r="E140" s="485">
        <f t="shared" si="16"/>
        <v>0</v>
      </c>
      <c r="F140" s="486">
        <f t="shared" si="17"/>
        <v>0</v>
      </c>
      <c r="G140" s="486">
        <f t="shared" si="18"/>
        <v>0</v>
      </c>
      <c r="H140" s="614">
        <f t="shared" si="12"/>
        <v>0</v>
      </c>
      <c r="I140" s="615">
        <f t="shared" si="13"/>
        <v>0</v>
      </c>
      <c r="J140" s="479">
        <f t="shared" si="19"/>
        <v>0</v>
      </c>
      <c r="K140" s="479"/>
      <c r="L140" s="488"/>
      <c r="M140" s="479">
        <f t="shared" si="20"/>
        <v>0</v>
      </c>
      <c r="N140" s="488"/>
      <c r="O140" s="479">
        <f t="shared" si="21"/>
        <v>0</v>
      </c>
      <c r="P140" s="479">
        <f t="shared" si="22"/>
        <v>0</v>
      </c>
    </row>
    <row r="141" spans="2:16" ht="12.5">
      <c r="B141" s="160" t="str">
        <f t="shared" si="15"/>
        <v/>
      </c>
      <c r="C141" s="473">
        <f>IF(D93="","-",+C140+1)</f>
        <v>2061</v>
      </c>
      <c r="D141" s="347">
        <f>IF(F140+SUM(E$99:E140)=D$92,F140,D$92-SUM(E$99:E140))</f>
        <v>0</v>
      </c>
      <c r="E141" s="485">
        <f t="shared" si="16"/>
        <v>0</v>
      </c>
      <c r="F141" s="486">
        <f t="shared" si="17"/>
        <v>0</v>
      </c>
      <c r="G141" s="486">
        <f t="shared" si="18"/>
        <v>0</v>
      </c>
      <c r="H141" s="614">
        <f t="shared" si="12"/>
        <v>0</v>
      </c>
      <c r="I141" s="615">
        <f t="shared" si="13"/>
        <v>0</v>
      </c>
      <c r="J141" s="479">
        <f t="shared" si="19"/>
        <v>0</v>
      </c>
      <c r="K141" s="479"/>
      <c r="L141" s="488"/>
      <c r="M141" s="479">
        <f t="shared" si="20"/>
        <v>0</v>
      </c>
      <c r="N141" s="488"/>
      <c r="O141" s="479">
        <f t="shared" si="21"/>
        <v>0</v>
      </c>
      <c r="P141" s="479">
        <f t="shared" si="22"/>
        <v>0</v>
      </c>
    </row>
    <row r="142" spans="2:16" ht="12.5">
      <c r="B142" s="160" t="str">
        <f t="shared" si="15"/>
        <v/>
      </c>
      <c r="C142" s="473">
        <f>IF(D93="","-",+C141+1)</f>
        <v>2062</v>
      </c>
      <c r="D142" s="347">
        <f>IF(F141+SUM(E$99:E141)=D$92,F141,D$92-SUM(E$99:E141))</f>
        <v>0</v>
      </c>
      <c r="E142" s="485">
        <f t="shared" si="16"/>
        <v>0</v>
      </c>
      <c r="F142" s="486">
        <f t="shared" si="17"/>
        <v>0</v>
      </c>
      <c r="G142" s="486">
        <f t="shared" si="18"/>
        <v>0</v>
      </c>
      <c r="H142" s="614">
        <f t="shared" si="12"/>
        <v>0</v>
      </c>
      <c r="I142" s="615">
        <f t="shared" si="13"/>
        <v>0</v>
      </c>
      <c r="J142" s="479">
        <f t="shared" si="19"/>
        <v>0</v>
      </c>
      <c r="K142" s="479"/>
      <c r="L142" s="488"/>
      <c r="M142" s="479">
        <f t="shared" si="20"/>
        <v>0</v>
      </c>
      <c r="N142" s="488"/>
      <c r="O142" s="479">
        <f t="shared" si="21"/>
        <v>0</v>
      </c>
      <c r="P142" s="479">
        <f t="shared" si="22"/>
        <v>0</v>
      </c>
    </row>
    <row r="143" spans="2:16" ht="12.5">
      <c r="B143" s="160" t="str">
        <f t="shared" si="15"/>
        <v/>
      </c>
      <c r="C143" s="473">
        <f>IF(D93="","-",+C142+1)</f>
        <v>2063</v>
      </c>
      <c r="D143" s="347">
        <f>IF(F142+SUM(E$99:E142)=D$92,F142,D$92-SUM(E$99:E142))</f>
        <v>0</v>
      </c>
      <c r="E143" s="485">
        <f t="shared" si="16"/>
        <v>0</v>
      </c>
      <c r="F143" s="486">
        <f t="shared" si="17"/>
        <v>0</v>
      </c>
      <c r="G143" s="486">
        <f t="shared" si="18"/>
        <v>0</v>
      </c>
      <c r="H143" s="614">
        <f t="shared" si="12"/>
        <v>0</v>
      </c>
      <c r="I143" s="615">
        <f t="shared" si="13"/>
        <v>0</v>
      </c>
      <c r="J143" s="479">
        <f t="shared" si="19"/>
        <v>0</v>
      </c>
      <c r="K143" s="479"/>
      <c r="L143" s="488"/>
      <c r="M143" s="479">
        <f t="shared" si="20"/>
        <v>0</v>
      </c>
      <c r="N143" s="488"/>
      <c r="O143" s="479">
        <f t="shared" si="21"/>
        <v>0</v>
      </c>
      <c r="P143" s="479">
        <f t="shared" si="22"/>
        <v>0</v>
      </c>
    </row>
    <row r="144" spans="2:16" ht="12.5">
      <c r="B144" s="160" t="str">
        <f t="shared" si="15"/>
        <v/>
      </c>
      <c r="C144" s="473">
        <f>IF(D93="","-",+C143+1)</f>
        <v>2064</v>
      </c>
      <c r="D144" s="347">
        <f>IF(F143+SUM(E$99:E143)=D$92,F143,D$92-SUM(E$99:E143))</f>
        <v>0</v>
      </c>
      <c r="E144" s="485">
        <f t="shared" si="16"/>
        <v>0</v>
      </c>
      <c r="F144" s="486">
        <f t="shared" si="17"/>
        <v>0</v>
      </c>
      <c r="G144" s="486">
        <f t="shared" si="18"/>
        <v>0</v>
      </c>
      <c r="H144" s="614">
        <f t="shared" si="12"/>
        <v>0</v>
      </c>
      <c r="I144" s="615">
        <f t="shared" si="13"/>
        <v>0</v>
      </c>
      <c r="J144" s="479">
        <f t="shared" si="19"/>
        <v>0</v>
      </c>
      <c r="K144" s="479"/>
      <c r="L144" s="488"/>
      <c r="M144" s="479">
        <f t="shared" si="20"/>
        <v>0</v>
      </c>
      <c r="N144" s="488"/>
      <c r="O144" s="479">
        <f t="shared" si="21"/>
        <v>0</v>
      </c>
      <c r="P144" s="479">
        <f t="shared" si="22"/>
        <v>0</v>
      </c>
    </row>
    <row r="145" spans="2:16" ht="12.5">
      <c r="B145" s="160" t="str">
        <f t="shared" si="15"/>
        <v/>
      </c>
      <c r="C145" s="473">
        <f>IF(D93="","-",+C144+1)</f>
        <v>2065</v>
      </c>
      <c r="D145" s="347">
        <f>IF(F144+SUM(E$99:E144)=D$92,F144,D$92-SUM(E$99:E144))</f>
        <v>0</v>
      </c>
      <c r="E145" s="485">
        <f t="shared" si="16"/>
        <v>0</v>
      </c>
      <c r="F145" s="486">
        <f t="shared" si="17"/>
        <v>0</v>
      </c>
      <c r="G145" s="486">
        <f t="shared" si="18"/>
        <v>0</v>
      </c>
      <c r="H145" s="614">
        <f t="shared" si="12"/>
        <v>0</v>
      </c>
      <c r="I145" s="615">
        <f t="shared" si="13"/>
        <v>0</v>
      </c>
      <c r="J145" s="479">
        <f t="shared" si="19"/>
        <v>0</v>
      </c>
      <c r="K145" s="479"/>
      <c r="L145" s="488"/>
      <c r="M145" s="479">
        <f t="shared" si="20"/>
        <v>0</v>
      </c>
      <c r="N145" s="488"/>
      <c r="O145" s="479">
        <f t="shared" si="21"/>
        <v>0</v>
      </c>
      <c r="P145" s="479">
        <f t="shared" si="22"/>
        <v>0</v>
      </c>
    </row>
    <row r="146" spans="2:16" ht="12.5">
      <c r="B146" s="160" t="str">
        <f t="shared" si="15"/>
        <v/>
      </c>
      <c r="C146" s="473">
        <f>IF(D93="","-",+C145+1)</f>
        <v>2066</v>
      </c>
      <c r="D146" s="347">
        <f>IF(F145+SUM(E$99:E145)=D$92,F145,D$92-SUM(E$99:E145))</f>
        <v>0</v>
      </c>
      <c r="E146" s="485">
        <f t="shared" si="16"/>
        <v>0</v>
      </c>
      <c r="F146" s="486">
        <f t="shared" si="17"/>
        <v>0</v>
      </c>
      <c r="G146" s="486">
        <f t="shared" si="18"/>
        <v>0</v>
      </c>
      <c r="H146" s="614">
        <f t="shared" si="12"/>
        <v>0</v>
      </c>
      <c r="I146" s="615">
        <f t="shared" si="13"/>
        <v>0</v>
      </c>
      <c r="J146" s="479">
        <f t="shared" si="19"/>
        <v>0</v>
      </c>
      <c r="K146" s="479"/>
      <c r="L146" s="488"/>
      <c r="M146" s="479">
        <f t="shared" si="20"/>
        <v>0</v>
      </c>
      <c r="N146" s="488"/>
      <c r="O146" s="479">
        <f t="shared" si="21"/>
        <v>0</v>
      </c>
      <c r="P146" s="479">
        <f t="shared" si="22"/>
        <v>0</v>
      </c>
    </row>
    <row r="147" spans="2:16" ht="12.5">
      <c r="B147" s="160" t="str">
        <f t="shared" si="15"/>
        <v/>
      </c>
      <c r="C147" s="473">
        <f>IF(D93="","-",+C146+1)</f>
        <v>2067</v>
      </c>
      <c r="D147" s="347">
        <f>IF(F146+SUM(E$99:E146)=D$92,F146,D$92-SUM(E$99:E146))</f>
        <v>0</v>
      </c>
      <c r="E147" s="485">
        <f t="shared" si="16"/>
        <v>0</v>
      </c>
      <c r="F147" s="486">
        <f t="shared" si="17"/>
        <v>0</v>
      </c>
      <c r="G147" s="486">
        <f t="shared" si="18"/>
        <v>0</v>
      </c>
      <c r="H147" s="614">
        <f t="shared" si="12"/>
        <v>0</v>
      </c>
      <c r="I147" s="615">
        <f t="shared" si="13"/>
        <v>0</v>
      </c>
      <c r="J147" s="479">
        <f t="shared" si="19"/>
        <v>0</v>
      </c>
      <c r="K147" s="479"/>
      <c r="L147" s="488"/>
      <c r="M147" s="479">
        <f t="shared" si="20"/>
        <v>0</v>
      </c>
      <c r="N147" s="488"/>
      <c r="O147" s="479">
        <f t="shared" si="21"/>
        <v>0</v>
      </c>
      <c r="P147" s="479">
        <f t="shared" si="22"/>
        <v>0</v>
      </c>
    </row>
    <row r="148" spans="2:16" ht="12.5">
      <c r="B148" s="160" t="str">
        <f t="shared" si="15"/>
        <v/>
      </c>
      <c r="C148" s="473">
        <f>IF(D93="","-",+C147+1)</f>
        <v>2068</v>
      </c>
      <c r="D148" s="347">
        <f>IF(F147+SUM(E$99:E147)=D$92,F147,D$92-SUM(E$99:E147))</f>
        <v>0</v>
      </c>
      <c r="E148" s="485">
        <f t="shared" si="16"/>
        <v>0</v>
      </c>
      <c r="F148" s="486">
        <f t="shared" si="17"/>
        <v>0</v>
      </c>
      <c r="G148" s="486">
        <f t="shared" si="18"/>
        <v>0</v>
      </c>
      <c r="H148" s="614">
        <f t="shared" si="12"/>
        <v>0</v>
      </c>
      <c r="I148" s="615">
        <f t="shared" si="13"/>
        <v>0</v>
      </c>
      <c r="J148" s="479">
        <f t="shared" si="19"/>
        <v>0</v>
      </c>
      <c r="K148" s="479"/>
      <c r="L148" s="488"/>
      <c r="M148" s="479">
        <f t="shared" si="20"/>
        <v>0</v>
      </c>
      <c r="N148" s="488"/>
      <c r="O148" s="479">
        <f t="shared" si="21"/>
        <v>0</v>
      </c>
      <c r="P148" s="479">
        <f t="shared" si="22"/>
        <v>0</v>
      </c>
    </row>
    <row r="149" spans="2:16" ht="12.5">
      <c r="B149" s="160" t="str">
        <f t="shared" si="15"/>
        <v/>
      </c>
      <c r="C149" s="473">
        <f>IF(D93="","-",+C148+1)</f>
        <v>2069</v>
      </c>
      <c r="D149" s="347">
        <f>IF(F148+SUM(E$99:E148)=D$92,F148,D$92-SUM(E$99:E148))</f>
        <v>0</v>
      </c>
      <c r="E149" s="485">
        <f t="shared" si="16"/>
        <v>0</v>
      </c>
      <c r="F149" s="486">
        <f t="shared" si="17"/>
        <v>0</v>
      </c>
      <c r="G149" s="486">
        <f t="shared" si="18"/>
        <v>0</v>
      </c>
      <c r="H149" s="614">
        <f t="shared" si="12"/>
        <v>0</v>
      </c>
      <c r="I149" s="615">
        <f t="shared" si="13"/>
        <v>0</v>
      </c>
      <c r="J149" s="479">
        <f t="shared" si="19"/>
        <v>0</v>
      </c>
      <c r="K149" s="479"/>
      <c r="L149" s="488"/>
      <c r="M149" s="479">
        <f t="shared" si="20"/>
        <v>0</v>
      </c>
      <c r="N149" s="488"/>
      <c r="O149" s="479">
        <f t="shared" si="21"/>
        <v>0</v>
      </c>
      <c r="P149" s="479">
        <f t="shared" si="22"/>
        <v>0</v>
      </c>
    </row>
    <row r="150" spans="2:16" ht="12.5">
      <c r="B150" s="160" t="str">
        <f t="shared" si="15"/>
        <v/>
      </c>
      <c r="C150" s="473">
        <f>IF(D93="","-",+C149+1)</f>
        <v>2070</v>
      </c>
      <c r="D150" s="347">
        <f>IF(F149+SUM(E$99:E149)=D$92,F149,D$92-SUM(E$99:E149))</f>
        <v>0</v>
      </c>
      <c r="E150" s="485">
        <f t="shared" si="16"/>
        <v>0</v>
      </c>
      <c r="F150" s="486">
        <f t="shared" si="17"/>
        <v>0</v>
      </c>
      <c r="G150" s="486">
        <f t="shared" si="18"/>
        <v>0</v>
      </c>
      <c r="H150" s="614">
        <f t="shared" si="12"/>
        <v>0</v>
      </c>
      <c r="I150" s="615">
        <f t="shared" si="13"/>
        <v>0</v>
      </c>
      <c r="J150" s="479">
        <f t="shared" si="19"/>
        <v>0</v>
      </c>
      <c r="K150" s="479"/>
      <c r="L150" s="488"/>
      <c r="M150" s="479">
        <f t="shared" si="20"/>
        <v>0</v>
      </c>
      <c r="N150" s="488"/>
      <c r="O150" s="479">
        <f t="shared" si="21"/>
        <v>0</v>
      </c>
      <c r="P150" s="479">
        <f t="shared" si="22"/>
        <v>0</v>
      </c>
    </row>
    <row r="151" spans="2:16" ht="12.5">
      <c r="B151" s="160" t="str">
        <f t="shared" si="15"/>
        <v/>
      </c>
      <c r="C151" s="473">
        <f>IF(D93="","-",+C150+1)</f>
        <v>2071</v>
      </c>
      <c r="D151" s="347">
        <f>IF(F150+SUM(E$99:E150)=D$92,F150,D$92-SUM(E$99:E150))</f>
        <v>0</v>
      </c>
      <c r="E151" s="485">
        <f t="shared" si="16"/>
        <v>0</v>
      </c>
      <c r="F151" s="486">
        <f t="shared" si="17"/>
        <v>0</v>
      </c>
      <c r="G151" s="486">
        <f t="shared" si="18"/>
        <v>0</v>
      </c>
      <c r="H151" s="614">
        <f t="shared" si="12"/>
        <v>0</v>
      </c>
      <c r="I151" s="615">
        <f t="shared" si="13"/>
        <v>0</v>
      </c>
      <c r="J151" s="479">
        <f t="shared" si="19"/>
        <v>0</v>
      </c>
      <c r="K151" s="479"/>
      <c r="L151" s="488"/>
      <c r="M151" s="479">
        <f t="shared" si="20"/>
        <v>0</v>
      </c>
      <c r="N151" s="488"/>
      <c r="O151" s="479">
        <f t="shared" si="21"/>
        <v>0</v>
      </c>
      <c r="P151" s="479">
        <f t="shared" si="22"/>
        <v>0</v>
      </c>
    </row>
    <row r="152" spans="2:16" ht="12.5">
      <c r="B152" s="160" t="str">
        <f t="shared" si="15"/>
        <v/>
      </c>
      <c r="C152" s="473">
        <f>IF(D93="","-",+C151+1)</f>
        <v>2072</v>
      </c>
      <c r="D152" s="347">
        <f>IF(F151+SUM(E$99:E151)=D$92,F151,D$92-SUM(E$99:E151))</f>
        <v>0</v>
      </c>
      <c r="E152" s="485">
        <f t="shared" si="16"/>
        <v>0</v>
      </c>
      <c r="F152" s="486">
        <f t="shared" si="17"/>
        <v>0</v>
      </c>
      <c r="G152" s="486">
        <f t="shared" si="18"/>
        <v>0</v>
      </c>
      <c r="H152" s="614">
        <f t="shared" si="12"/>
        <v>0</v>
      </c>
      <c r="I152" s="615">
        <f t="shared" si="13"/>
        <v>0</v>
      </c>
      <c r="J152" s="479">
        <f t="shared" si="19"/>
        <v>0</v>
      </c>
      <c r="K152" s="479"/>
      <c r="L152" s="488"/>
      <c r="M152" s="479">
        <f t="shared" si="20"/>
        <v>0</v>
      </c>
      <c r="N152" s="488"/>
      <c r="O152" s="479">
        <f t="shared" si="21"/>
        <v>0</v>
      </c>
      <c r="P152" s="479">
        <f t="shared" si="22"/>
        <v>0</v>
      </c>
    </row>
    <row r="153" spans="2:16" ht="12.5">
      <c r="B153" s="160" t="str">
        <f t="shared" si="15"/>
        <v/>
      </c>
      <c r="C153" s="473">
        <f>IF(D93="","-",+C152+1)</f>
        <v>2073</v>
      </c>
      <c r="D153" s="347">
        <f>IF(F152+SUM(E$99:E152)=D$92,F152,D$92-SUM(E$99:E152))</f>
        <v>0</v>
      </c>
      <c r="E153" s="485">
        <f t="shared" si="16"/>
        <v>0</v>
      </c>
      <c r="F153" s="486">
        <f t="shared" si="17"/>
        <v>0</v>
      </c>
      <c r="G153" s="486">
        <f t="shared" si="18"/>
        <v>0</v>
      </c>
      <c r="H153" s="614">
        <f t="shared" si="12"/>
        <v>0</v>
      </c>
      <c r="I153" s="615">
        <f t="shared" si="13"/>
        <v>0</v>
      </c>
      <c r="J153" s="479">
        <f t="shared" si="19"/>
        <v>0</v>
      </c>
      <c r="K153" s="479"/>
      <c r="L153" s="488"/>
      <c r="M153" s="479">
        <f t="shared" si="20"/>
        <v>0</v>
      </c>
      <c r="N153" s="488"/>
      <c r="O153" s="479">
        <f t="shared" si="21"/>
        <v>0</v>
      </c>
      <c r="P153" s="479">
        <f t="shared" si="22"/>
        <v>0</v>
      </c>
    </row>
    <row r="154" spans="2:16" ht="13" thickBot="1">
      <c r="B154" s="160" t="str">
        <f t="shared" si="15"/>
        <v/>
      </c>
      <c r="C154" s="490">
        <f>IF(D93="","-",+C153+1)</f>
        <v>2074</v>
      </c>
      <c r="D154" s="544">
        <f>IF(F153+SUM(E$99:E153)=D$92,F153,D$92-SUM(E$99:E153))</f>
        <v>0</v>
      </c>
      <c r="E154" s="492">
        <f t="shared" si="16"/>
        <v>0</v>
      </c>
      <c r="F154" s="491">
        <f t="shared" si="17"/>
        <v>0</v>
      </c>
      <c r="G154" s="491">
        <f t="shared" si="18"/>
        <v>0</v>
      </c>
      <c r="H154" s="616">
        <f t="shared" si="12"/>
        <v>0</v>
      </c>
      <c r="I154" s="617">
        <f t="shared" si="13"/>
        <v>0</v>
      </c>
      <c r="J154" s="496">
        <f t="shared" si="19"/>
        <v>0</v>
      </c>
      <c r="K154" s="479"/>
      <c r="L154" s="495"/>
      <c r="M154" s="496">
        <f t="shared" si="20"/>
        <v>0</v>
      </c>
      <c r="N154" s="495"/>
      <c r="O154" s="496">
        <f t="shared" si="21"/>
        <v>0</v>
      </c>
      <c r="P154" s="496">
        <f t="shared" si="22"/>
        <v>0</v>
      </c>
    </row>
    <row r="155" spans="2:16" ht="12.5">
      <c r="C155" s="347" t="s">
        <v>77</v>
      </c>
      <c r="D155" s="348"/>
      <c r="E155" s="348">
        <f>SUM(E99:E154)</f>
        <v>0</v>
      </c>
      <c r="F155" s="348"/>
      <c r="G155" s="348"/>
      <c r="H155" s="348">
        <f>SUM(H99:H154)</f>
        <v>0</v>
      </c>
      <c r="I155" s="348">
        <f>SUM(I99:I154)</f>
        <v>0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zoomScale="78" zoomScaleNormal="100" zoomScaleSheetLayoutView="78" workbookViewId="0">
      <selection activeCell="M87" sqref="M87"/>
    </sheetView>
  </sheetViews>
  <sheetFormatPr defaultRowHeight="12.75" customHeight="1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28</v>
      </c>
    </row>
    <row r="2" spans="1:16" ht="17.5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6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.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 ht="13">
      <c r="C10" s="145" t="s">
        <v>226</v>
      </c>
      <c r="D10" s="43"/>
      <c r="E10" s="12" t="s">
        <v>51</v>
      </c>
      <c r="F10" s="42"/>
      <c r="G10" s="44"/>
      <c r="H10" s="44"/>
      <c r="I10" s="45">
        <f>+PSO.WS.F.BPU.ATRR.Projected!L19</f>
        <v>2019</v>
      </c>
      <c r="J10" s="41"/>
      <c r="K10" s="20" t="s">
        <v>52</v>
      </c>
      <c r="O10" s="4"/>
      <c r="P10" s="4"/>
    </row>
    <row r="11" spans="1:16" ht="12.5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IF(G5="",0,PSO.WS.F.BPU.ATRR.Projected!F$13)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 ht="12.5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PSO.WS.F.BPU.ATRR.Projected!$F$81</f>
        <v>0.13533541013261485</v>
      </c>
      <c r="J12" s="51"/>
      <c r="K12" t="s">
        <v>57</v>
      </c>
      <c r="O12" s="4"/>
      <c r="P12" s="4"/>
    </row>
    <row r="13" spans="1:16" ht="12.5">
      <c r="C13" s="46" t="s">
        <v>58</v>
      </c>
      <c r="D13" s="48">
        <f>+PSO.WS.F.BPU.ATRR.Projected!F$93</f>
        <v>45</v>
      </c>
      <c r="E13" s="46" t="s">
        <v>59</v>
      </c>
      <c r="F13" s="44"/>
      <c r="G13" s="7"/>
      <c r="H13" s="7"/>
      <c r="I13" s="50">
        <f>IF(G5="",I12,PSO.WS.F.BPU.ATRR.Projected!$F$80)</f>
        <v>0.13533541013261485</v>
      </c>
      <c r="J13" s="51"/>
      <c r="K13" s="20" t="s">
        <v>60</v>
      </c>
      <c r="L13" s="11"/>
      <c r="M13" s="11"/>
      <c r="N13" s="11"/>
      <c r="O13" s="4"/>
      <c r="P13" s="4"/>
    </row>
    <row r="14" spans="1:16" ht="13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9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 ht="12.5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 ht="12.5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 ht="12.5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 ht="12.5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 ht="12.5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 ht="12.5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 ht="12.5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 ht="12.5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 ht="12.5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 ht="12.5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 ht="12.5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 ht="12.5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 ht="12.5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 ht="12.5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 ht="12.5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 ht="12.5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 ht="12.5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 ht="12.5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 ht="12.5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 ht="12.5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 ht="12.5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 ht="12.5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 ht="12.5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 ht="12.5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 ht="12.5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 ht="12.5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 ht="12.5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 ht="12.5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 ht="12.5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 ht="12.5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 ht="12.5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 ht="12.5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 ht="12.5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 ht="12.5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 ht="12.5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 ht="12.5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 ht="12.5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 ht="12.5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 ht="12.5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 ht="12.5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 ht="12.5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 ht="12.5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 ht="12.5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 ht="12.5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 ht="12.5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 ht="12.5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 ht="12.5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 ht="12.5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 ht="12.5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 ht="12.5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 ht="12.5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 ht="12.5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 ht="12.5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 ht="12.5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 ht="12.5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 ht="12.5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 ht="12.5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 ht="13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 ht="13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 ht="13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 ht="13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 ht="12.5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7.5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 ht="12.5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 ht="12.5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28</v>
      </c>
    </row>
    <row r="84" spans="1:16" ht="17.5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7.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6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2019</v>
      </c>
      <c r="M86" s="119" t="s">
        <v>8</v>
      </c>
      <c r="N86" s="120" t="s">
        <v>153</v>
      </c>
      <c r="O86" s="121" t="s">
        <v>10</v>
      </c>
      <c r="P86" s="1"/>
    </row>
    <row r="87" spans="1:16" ht="15.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 ht="13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2019</v>
      </c>
      <c r="K92" s="41"/>
      <c r="L92" s="20" t="s">
        <v>95</v>
      </c>
      <c r="P92" s="4"/>
    </row>
    <row r="93" spans="1:16" ht="12.5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 ht="12.5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0.10311402608063032</v>
      </c>
      <c r="K94" s="51"/>
      <c r="L94" t="s">
        <v>96</v>
      </c>
      <c r="P94" s="4"/>
    </row>
    <row r="95" spans="1:16" ht="12.5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0.10311402608063032</v>
      </c>
      <c r="K95" s="11"/>
      <c r="L95" s="20" t="s">
        <v>60</v>
      </c>
      <c r="M95" s="11"/>
      <c r="N95" s="11"/>
      <c r="O95" s="11"/>
      <c r="P95" s="4"/>
    </row>
    <row r="96" spans="1:16" ht="13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9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 ht="12.5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 ht="12.5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 ht="12.5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 ht="12.5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 ht="12.5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 ht="12.5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 ht="12.5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 ht="12.5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 ht="12.5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 ht="12.5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 ht="12.5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 ht="12.5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 ht="12.5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 ht="12.5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 ht="12.5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 ht="12.5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 ht="12.5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 ht="12.5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 ht="12.5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 ht="12.5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 ht="12.5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 ht="12.5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 ht="12.5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 ht="12.5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 ht="12.5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 ht="12.5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 ht="12.5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 ht="12.5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 ht="12.5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 ht="12.5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 ht="12.5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 ht="12.5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 ht="12.5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 ht="12.5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 ht="12.5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 ht="12.5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 ht="12.5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 ht="12.5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 ht="12.5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 ht="12.5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 ht="12.5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 ht="12.5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 ht="12.5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 ht="12.5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 ht="12.5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 ht="12.5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 ht="12.5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 ht="12.5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 ht="12.5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 ht="12.5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 ht="12.5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 ht="12.5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 ht="12.5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 ht="12.5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 ht="12.5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 ht="12.5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 ht="12.5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 ht="12.5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 ht="13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 ht="13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 ht="13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 ht="13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7.5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tabSelected="1" view="pageBreakPreview" topLeftCell="D1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179687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1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 t="str">
        <f>RIGHT(N3,3)</f>
        <v/>
      </c>
      <c r="P3" s="42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102569.83805108386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102569.83805108386</v>
      </c>
      <c r="O6" s="233"/>
      <c r="P6" s="233"/>
    </row>
    <row r="7" spans="1:16" ht="13.5" thickBot="1">
      <c r="C7" s="432" t="s">
        <v>46</v>
      </c>
      <c r="D7" s="433" t="s">
        <v>209</v>
      </c>
      <c r="E7" s="332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49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f>893858</f>
        <v>893858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2009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IF(D10=0,0,ROUND(D10/D13,0))</f>
        <v>19864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C17" s="473">
        <f>IF(D11= "","-",D11)</f>
        <v>2009</v>
      </c>
      <c r="D17" s="474">
        <v>579098</v>
      </c>
      <c r="E17" s="475">
        <v>5463</v>
      </c>
      <c r="F17" s="474">
        <v>573635</v>
      </c>
      <c r="G17" s="475">
        <v>56729</v>
      </c>
      <c r="H17" s="475">
        <v>56729</v>
      </c>
      <c r="I17" s="476">
        <f t="shared" ref="I17:I48" si="0">H17-G17</f>
        <v>0</v>
      </c>
      <c r="J17" s="476"/>
      <c r="K17" s="477">
        <v>56729</v>
      </c>
      <c r="L17" s="478">
        <f t="shared" ref="L17:L48" si="1">IF(K17&lt;&gt;0,+G17-K17,0)</f>
        <v>0</v>
      </c>
      <c r="M17" s="477">
        <v>56729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2010</v>
      </c>
      <c r="D18" s="480">
        <v>888395</v>
      </c>
      <c r="E18" s="481">
        <v>15962</v>
      </c>
      <c r="F18" s="480">
        <v>872433</v>
      </c>
      <c r="G18" s="481">
        <v>141851</v>
      </c>
      <c r="H18" s="482">
        <v>141851</v>
      </c>
      <c r="I18" s="476">
        <f t="shared" si="0"/>
        <v>0</v>
      </c>
      <c r="J18" s="476"/>
      <c r="K18" s="477">
        <f t="shared" ref="K18:K23" si="4">G18</f>
        <v>141851</v>
      </c>
      <c r="L18" s="479">
        <f t="shared" si="1"/>
        <v>0</v>
      </c>
      <c r="M18" s="477">
        <f t="shared" ref="M18:M23" si="5">H18</f>
        <v>141851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2011</v>
      </c>
      <c r="D19" s="480">
        <v>872433</v>
      </c>
      <c r="E19" s="481">
        <v>17527</v>
      </c>
      <c r="F19" s="480">
        <v>854906</v>
      </c>
      <c r="G19" s="481">
        <v>151356.84230707804</v>
      </c>
      <c r="H19" s="482">
        <v>151356.84230707804</v>
      </c>
      <c r="I19" s="476">
        <f t="shared" si="0"/>
        <v>0</v>
      </c>
      <c r="J19" s="476"/>
      <c r="K19" s="477">
        <f t="shared" si="4"/>
        <v>151356.84230707804</v>
      </c>
      <c r="L19" s="479">
        <f t="shared" si="1"/>
        <v>0</v>
      </c>
      <c r="M19" s="477">
        <f t="shared" si="5"/>
        <v>151356.84230707804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83">
        <f>IF(D11="","-",+C19+1)</f>
        <v>2012</v>
      </c>
      <c r="D20" s="480">
        <v>854906</v>
      </c>
      <c r="E20" s="481">
        <v>17190</v>
      </c>
      <c r="F20" s="480">
        <v>837716</v>
      </c>
      <c r="G20" s="481">
        <v>133805.70830730975</v>
      </c>
      <c r="H20" s="482">
        <v>133805.70830730975</v>
      </c>
      <c r="I20" s="476">
        <f t="shared" si="0"/>
        <v>0</v>
      </c>
      <c r="J20" s="476"/>
      <c r="K20" s="477">
        <f t="shared" si="4"/>
        <v>133805.70830730975</v>
      </c>
      <c r="L20" s="479">
        <f t="shared" si="1"/>
        <v>0</v>
      </c>
      <c r="M20" s="477">
        <f t="shared" si="5"/>
        <v>133805.70830730975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83">
        <f>IF(D12="","-",+C20+1)</f>
        <v>2013</v>
      </c>
      <c r="D21" s="480">
        <v>837716</v>
      </c>
      <c r="E21" s="481">
        <v>17190</v>
      </c>
      <c r="F21" s="480">
        <v>820526</v>
      </c>
      <c r="G21" s="481">
        <v>134366.65985215519</v>
      </c>
      <c r="H21" s="482">
        <v>134366.65985215519</v>
      </c>
      <c r="I21" s="476">
        <v>0</v>
      </c>
      <c r="J21" s="476"/>
      <c r="K21" s="477">
        <f t="shared" si="4"/>
        <v>134366.65985215519</v>
      </c>
      <c r="L21" s="479">
        <f t="shared" ref="L21:L26" si="7">IF(K21&lt;&gt;0,+G21-K21,0)</f>
        <v>0</v>
      </c>
      <c r="M21" s="477">
        <f t="shared" si="5"/>
        <v>134366.65985215519</v>
      </c>
      <c r="N21" s="479">
        <f t="shared" ref="N21:N26" si="8">IF(M21&lt;&gt;0,+H21-M21,0)</f>
        <v>0</v>
      </c>
      <c r="O21" s="479">
        <f t="shared" ref="O21:O26" si="9">+N21-L21</f>
        <v>0</v>
      </c>
      <c r="P21" s="243"/>
    </row>
    <row r="22" spans="2:16" ht="12.5">
      <c r="B22" s="160" t="str">
        <f t="shared" si="6"/>
        <v/>
      </c>
      <c r="C22" s="473">
        <f>IF(D11="","-",+C21+1)</f>
        <v>2014</v>
      </c>
      <c r="D22" s="480">
        <v>820526</v>
      </c>
      <c r="E22" s="481">
        <v>17190</v>
      </c>
      <c r="F22" s="480">
        <v>803336</v>
      </c>
      <c r="G22" s="481">
        <v>127776.24380165605</v>
      </c>
      <c r="H22" s="482">
        <v>127776.24380165605</v>
      </c>
      <c r="I22" s="476">
        <v>0</v>
      </c>
      <c r="J22" s="476"/>
      <c r="K22" s="477">
        <f t="shared" si="4"/>
        <v>127776.24380165605</v>
      </c>
      <c r="L22" s="479">
        <f t="shared" si="7"/>
        <v>0</v>
      </c>
      <c r="M22" s="477">
        <f t="shared" si="5"/>
        <v>127776.24380165605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2015</v>
      </c>
      <c r="D23" s="480">
        <v>803336</v>
      </c>
      <c r="E23" s="481">
        <v>17190</v>
      </c>
      <c r="F23" s="480">
        <v>786146</v>
      </c>
      <c r="G23" s="481">
        <v>125577.25148028173</v>
      </c>
      <c r="H23" s="482">
        <v>125577.25148028173</v>
      </c>
      <c r="I23" s="476">
        <v>0</v>
      </c>
      <c r="J23" s="476"/>
      <c r="K23" s="477">
        <f t="shared" si="4"/>
        <v>125577.25148028173</v>
      </c>
      <c r="L23" s="479">
        <f t="shared" si="7"/>
        <v>0</v>
      </c>
      <c r="M23" s="477">
        <f t="shared" si="5"/>
        <v>125577.25148028173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2016</v>
      </c>
      <c r="D24" s="480">
        <v>786146</v>
      </c>
      <c r="E24" s="481">
        <v>17190</v>
      </c>
      <c r="F24" s="480">
        <v>768956</v>
      </c>
      <c r="G24" s="481">
        <v>118045.98754263212</v>
      </c>
      <c r="H24" s="482">
        <v>118045.98754263212</v>
      </c>
      <c r="I24" s="476">
        <f t="shared" si="0"/>
        <v>0</v>
      </c>
      <c r="J24" s="476"/>
      <c r="K24" s="477">
        <f>G24</f>
        <v>118045.98754263212</v>
      </c>
      <c r="L24" s="479">
        <f t="shared" si="7"/>
        <v>0</v>
      </c>
      <c r="M24" s="477">
        <f>H24</f>
        <v>118045.98754263212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2017</v>
      </c>
      <c r="D25" s="480">
        <v>768956</v>
      </c>
      <c r="E25" s="481">
        <v>19432</v>
      </c>
      <c r="F25" s="480">
        <v>749524</v>
      </c>
      <c r="G25" s="481">
        <v>114816.91495996526</v>
      </c>
      <c r="H25" s="482">
        <v>114816.91495996526</v>
      </c>
      <c r="I25" s="476">
        <f t="shared" si="0"/>
        <v>0</v>
      </c>
      <c r="J25" s="476"/>
      <c r="K25" s="477">
        <f>G25</f>
        <v>114816.91495996526</v>
      </c>
      <c r="L25" s="479">
        <f t="shared" si="7"/>
        <v>0</v>
      </c>
      <c r="M25" s="477">
        <f>H25</f>
        <v>114816.91495996526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2018</v>
      </c>
      <c r="D26" s="480">
        <v>749524</v>
      </c>
      <c r="E26" s="481">
        <v>19864</v>
      </c>
      <c r="F26" s="480">
        <v>729660</v>
      </c>
      <c r="G26" s="481">
        <v>108436.75447594153</v>
      </c>
      <c r="H26" s="482">
        <v>108436.75447594153</v>
      </c>
      <c r="I26" s="476">
        <f t="shared" si="0"/>
        <v>0</v>
      </c>
      <c r="J26" s="476"/>
      <c r="K26" s="477">
        <f>G26</f>
        <v>108436.75447594153</v>
      </c>
      <c r="L26" s="479">
        <f t="shared" si="7"/>
        <v>0</v>
      </c>
      <c r="M26" s="477">
        <f>H26</f>
        <v>108436.75447594153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2019</v>
      </c>
      <c r="D27" s="480">
        <v>729660</v>
      </c>
      <c r="E27" s="481">
        <v>22346</v>
      </c>
      <c r="F27" s="480">
        <v>707314</v>
      </c>
      <c r="G27" s="481">
        <v>102569.83805108386</v>
      </c>
      <c r="H27" s="482">
        <v>102569.83805108386</v>
      </c>
      <c r="I27" s="476">
        <f t="shared" si="0"/>
        <v>0</v>
      </c>
      <c r="J27" s="476"/>
      <c r="K27" s="477">
        <f>G27</f>
        <v>102569.83805108386</v>
      </c>
      <c r="L27" s="479">
        <f t="shared" ref="L27" si="10">IF(K27&lt;&gt;0,+G27-K27,0)</f>
        <v>0</v>
      </c>
      <c r="M27" s="477">
        <f>H27</f>
        <v>102569.83805108386</v>
      </c>
      <c r="N27" s="479">
        <f t="shared" ref="N27" si="11">IF(M27&lt;&gt;0,+H27-M27,0)</f>
        <v>0</v>
      </c>
      <c r="O27" s="479">
        <f t="shared" ref="O27" si="12">+N27-L27</f>
        <v>0</v>
      </c>
      <c r="P27" s="243"/>
    </row>
    <row r="28" spans="2:16" ht="12.5">
      <c r="B28" s="160" t="str">
        <f t="shared" si="6"/>
        <v/>
      </c>
      <c r="C28" s="473">
        <f>IF(D11="","-",+C27+1)</f>
        <v>2020</v>
      </c>
      <c r="D28" s="484">
        <f>IF(F27+SUM(E$17:E27)=D$10,F27,D$10-SUM(E$17:E27))</f>
        <v>707314</v>
      </c>
      <c r="E28" s="485">
        <f>IF(+I14&lt;F27,I14,D28)</f>
        <v>19864</v>
      </c>
      <c r="F28" s="486">
        <f t="shared" ref="F28:F48" si="13">+D28-E28</f>
        <v>687450</v>
      </c>
      <c r="G28" s="487">
        <f t="shared" ref="G28:G72" si="14">+I$12*F28+E28</f>
        <v>112900.32769566608</v>
      </c>
      <c r="H28" s="456">
        <f t="shared" ref="H28:H72" si="15">+I$13*F28+E28</f>
        <v>112900.32769566608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6"/>
        <v/>
      </c>
      <c r="C29" s="473">
        <f>IF(D11="","-",+C28+1)</f>
        <v>2021</v>
      </c>
      <c r="D29" s="484">
        <f>IF(F28+SUM(E$17:E28)=D$10,F28,D$10-SUM(E$17:E28))</f>
        <v>687450</v>
      </c>
      <c r="E29" s="485">
        <f>IF(+I14&lt;F28,I14,D29)</f>
        <v>19864</v>
      </c>
      <c r="F29" s="486">
        <f t="shared" si="13"/>
        <v>667586</v>
      </c>
      <c r="G29" s="487">
        <f t="shared" si="14"/>
        <v>110212.02510879182</v>
      </c>
      <c r="H29" s="456">
        <f t="shared" si="15"/>
        <v>110212.02510879182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2022</v>
      </c>
      <c r="D30" s="484">
        <f>IF(F29+SUM(E$17:E29)=D$10,F29,D$10-SUM(E$17:E29))</f>
        <v>667586</v>
      </c>
      <c r="E30" s="485">
        <f>IF(+I14&lt;F29,I14,D30)</f>
        <v>19864</v>
      </c>
      <c r="F30" s="486">
        <f t="shared" si="13"/>
        <v>647722</v>
      </c>
      <c r="G30" s="487">
        <f t="shared" si="14"/>
        <v>107523.72252191756</v>
      </c>
      <c r="H30" s="456">
        <f t="shared" si="15"/>
        <v>107523.72252191756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2023</v>
      </c>
      <c r="D31" s="484">
        <f>IF(F30+SUM(E$17:E30)=D$10,F30,D$10-SUM(E$17:E30))</f>
        <v>647722</v>
      </c>
      <c r="E31" s="485">
        <f>IF(+I14&lt;F30,I14,D31)</f>
        <v>19864</v>
      </c>
      <c r="F31" s="486">
        <f t="shared" si="13"/>
        <v>627858</v>
      </c>
      <c r="G31" s="487">
        <f t="shared" si="14"/>
        <v>104835.41993504329</v>
      </c>
      <c r="H31" s="456">
        <f t="shared" si="15"/>
        <v>104835.41993504329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2024</v>
      </c>
      <c r="D32" s="484">
        <f>IF(F31+SUM(E$17:E31)=D$10,F31,D$10-SUM(E$17:E31))</f>
        <v>627858</v>
      </c>
      <c r="E32" s="485">
        <f>IF(+I14&lt;F31,I14,D32)</f>
        <v>19864</v>
      </c>
      <c r="F32" s="486">
        <f t="shared" si="13"/>
        <v>607994</v>
      </c>
      <c r="G32" s="487">
        <f t="shared" si="14"/>
        <v>102147.11734816903</v>
      </c>
      <c r="H32" s="456">
        <f t="shared" si="15"/>
        <v>102147.11734816903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2025</v>
      </c>
      <c r="D33" s="484">
        <f>IF(F32+SUM(E$17:E32)=D$10,F32,D$10-SUM(E$17:E32))</f>
        <v>607994</v>
      </c>
      <c r="E33" s="485">
        <f>IF(+I14&lt;F32,I14,D33)</f>
        <v>19864</v>
      </c>
      <c r="F33" s="486">
        <f t="shared" si="13"/>
        <v>588130</v>
      </c>
      <c r="G33" s="487">
        <f t="shared" si="14"/>
        <v>99458.81476129478</v>
      </c>
      <c r="H33" s="456">
        <f t="shared" si="15"/>
        <v>99458.81476129478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2026</v>
      </c>
      <c r="D34" s="484">
        <f>IF(F33+SUM(E$17:E33)=D$10,F33,D$10-SUM(E$17:E33))</f>
        <v>588130</v>
      </c>
      <c r="E34" s="485">
        <f>IF(+I14&lt;F33,I14,D34)</f>
        <v>19864</v>
      </c>
      <c r="F34" s="486">
        <f t="shared" si="13"/>
        <v>568266</v>
      </c>
      <c r="G34" s="487">
        <f t="shared" si="14"/>
        <v>96770.51217442051</v>
      </c>
      <c r="H34" s="456">
        <f t="shared" si="15"/>
        <v>96770.51217442051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2027</v>
      </c>
      <c r="D35" s="484">
        <f>IF(F34+SUM(E$17:E34)=D$10,F34,D$10-SUM(E$17:E34))</f>
        <v>568266</v>
      </c>
      <c r="E35" s="485">
        <f>IF(+I14&lt;F34,I14,D35)</f>
        <v>19864</v>
      </c>
      <c r="F35" s="486">
        <f t="shared" si="13"/>
        <v>548402</v>
      </c>
      <c r="G35" s="487">
        <f t="shared" si="14"/>
        <v>94082.209587546255</v>
      </c>
      <c r="H35" s="456">
        <f t="shared" si="15"/>
        <v>94082.209587546255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2028</v>
      </c>
      <c r="D36" s="484">
        <f>IF(F35+SUM(E$17:E35)=D$10,F35,D$10-SUM(E$17:E35))</f>
        <v>548402</v>
      </c>
      <c r="E36" s="485">
        <f>IF(+I14&lt;F35,I14,D36)</f>
        <v>19864</v>
      </c>
      <c r="F36" s="486">
        <f t="shared" si="13"/>
        <v>528538</v>
      </c>
      <c r="G36" s="487">
        <f t="shared" si="14"/>
        <v>91393.907000671985</v>
      </c>
      <c r="H36" s="456">
        <f t="shared" si="15"/>
        <v>91393.907000671985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2029</v>
      </c>
      <c r="D37" s="484">
        <f>IF(F36+SUM(E$17:E36)=D$10,F36,D$10-SUM(E$17:E36))</f>
        <v>528538</v>
      </c>
      <c r="E37" s="485">
        <f>IF(+I14&lt;F36,I14,D37)</f>
        <v>19864</v>
      </c>
      <c r="F37" s="486">
        <f t="shared" si="13"/>
        <v>508674</v>
      </c>
      <c r="G37" s="487">
        <f t="shared" si="14"/>
        <v>88705.60441379773</v>
      </c>
      <c r="H37" s="456">
        <f t="shared" si="15"/>
        <v>88705.60441379773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2030</v>
      </c>
      <c r="D38" s="484">
        <f>IF(F37+SUM(E$17:E37)=D$10,F37,D$10-SUM(E$17:E37))</f>
        <v>508674</v>
      </c>
      <c r="E38" s="485">
        <f>IF(+I14&lt;F37,I14,D38)</f>
        <v>19864</v>
      </c>
      <c r="F38" s="486">
        <f t="shared" si="13"/>
        <v>488810</v>
      </c>
      <c r="G38" s="487">
        <f t="shared" si="14"/>
        <v>86017.30182692346</v>
      </c>
      <c r="H38" s="456">
        <f t="shared" si="15"/>
        <v>86017.30182692346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2031</v>
      </c>
      <c r="D39" s="484">
        <f>IF(F38+SUM(E$17:E38)=D$10,F38,D$10-SUM(E$17:E38))</f>
        <v>488810</v>
      </c>
      <c r="E39" s="485">
        <f>IF(+I14&lt;F38,I14,D39)</f>
        <v>19864</v>
      </c>
      <c r="F39" s="486">
        <f t="shared" si="13"/>
        <v>468946</v>
      </c>
      <c r="G39" s="487">
        <f t="shared" si="14"/>
        <v>83328.999240049205</v>
      </c>
      <c r="H39" s="456">
        <f t="shared" si="15"/>
        <v>83328.999240049205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2032</v>
      </c>
      <c r="D40" s="484">
        <f>IF(F39+SUM(E$17:E39)=D$10,F39,D$10-SUM(E$17:E39))</f>
        <v>468946</v>
      </c>
      <c r="E40" s="485">
        <f>IF(+I14&lt;F39,I14,D40)</f>
        <v>19864</v>
      </c>
      <c r="F40" s="486">
        <f t="shared" si="13"/>
        <v>449082</v>
      </c>
      <c r="G40" s="487">
        <f t="shared" si="14"/>
        <v>80640.696653174935</v>
      </c>
      <c r="H40" s="456">
        <f t="shared" si="15"/>
        <v>80640.696653174935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2033</v>
      </c>
      <c r="D41" s="484">
        <f>IF(F40+SUM(E$17:E40)=D$10,F40,D$10-SUM(E$17:E40))</f>
        <v>449082</v>
      </c>
      <c r="E41" s="485">
        <f>IF(+I14&lt;F40,I14,D41)</f>
        <v>19864</v>
      </c>
      <c r="F41" s="486">
        <f t="shared" si="13"/>
        <v>429218</v>
      </c>
      <c r="G41" s="487">
        <f t="shared" si="14"/>
        <v>77952.39406630068</v>
      </c>
      <c r="H41" s="456">
        <f t="shared" si="15"/>
        <v>77952.39406630068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2034</v>
      </c>
      <c r="D42" s="484">
        <f>IF(F41+SUM(E$17:E41)=D$10,F41,D$10-SUM(E$17:E41))</f>
        <v>429218</v>
      </c>
      <c r="E42" s="485">
        <f>IF(+I14&lt;F41,I14,D42)</f>
        <v>19864</v>
      </c>
      <c r="F42" s="486">
        <f t="shared" si="13"/>
        <v>409354</v>
      </c>
      <c r="G42" s="487">
        <f t="shared" si="14"/>
        <v>75264.091479426424</v>
      </c>
      <c r="H42" s="456">
        <f t="shared" si="15"/>
        <v>75264.091479426424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2035</v>
      </c>
      <c r="D43" s="484">
        <f>IF(F42+SUM(E$17:E42)=D$10,F42,D$10-SUM(E$17:E42))</f>
        <v>409354</v>
      </c>
      <c r="E43" s="485">
        <f>IF(+I14&lt;F42,I14,D43)</f>
        <v>19864</v>
      </c>
      <c r="F43" s="486">
        <f t="shared" si="13"/>
        <v>389490</v>
      </c>
      <c r="G43" s="487">
        <f t="shared" si="14"/>
        <v>72575.788892552169</v>
      </c>
      <c r="H43" s="456">
        <f t="shared" si="15"/>
        <v>72575.788892552169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2036</v>
      </c>
      <c r="D44" s="484">
        <f>IF(F43+SUM(E$17:E43)=D$10,F43,D$10-SUM(E$17:E43))</f>
        <v>389490</v>
      </c>
      <c r="E44" s="485">
        <f>IF(+I14&lt;F43,I14,D44)</f>
        <v>19864</v>
      </c>
      <c r="F44" s="486">
        <f t="shared" si="13"/>
        <v>369626</v>
      </c>
      <c r="G44" s="487">
        <f t="shared" si="14"/>
        <v>69887.4863056779</v>
      </c>
      <c r="H44" s="456">
        <f t="shared" si="15"/>
        <v>69887.4863056779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2037</v>
      </c>
      <c r="D45" s="484">
        <f>IF(F44+SUM(E$17:E44)=D$10,F44,D$10-SUM(E$17:E44))</f>
        <v>369626</v>
      </c>
      <c r="E45" s="485">
        <f>IF(+I14&lt;F44,I14,D45)</f>
        <v>19864</v>
      </c>
      <c r="F45" s="486">
        <f t="shared" si="13"/>
        <v>349762</v>
      </c>
      <c r="G45" s="487">
        <f t="shared" si="14"/>
        <v>67199.18371880363</v>
      </c>
      <c r="H45" s="456">
        <f t="shared" si="15"/>
        <v>67199.18371880363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2038</v>
      </c>
      <c r="D46" s="484">
        <f>IF(F45+SUM(E$17:E45)=D$10,F45,D$10-SUM(E$17:E45))</f>
        <v>349762</v>
      </c>
      <c r="E46" s="485">
        <f>IF(+I14&lt;F45,I14,D46)</f>
        <v>19864</v>
      </c>
      <c r="F46" s="486">
        <f t="shared" si="13"/>
        <v>329898</v>
      </c>
      <c r="G46" s="487">
        <f t="shared" si="14"/>
        <v>64510.881131929375</v>
      </c>
      <c r="H46" s="456">
        <f t="shared" si="15"/>
        <v>64510.881131929375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2039</v>
      </c>
      <c r="D47" s="484">
        <f>IF(F46+SUM(E$17:E46)=D$10,F46,D$10-SUM(E$17:E46))</f>
        <v>329898</v>
      </c>
      <c r="E47" s="485">
        <f>IF(+I14&lt;F46,I14,D47)</f>
        <v>19864</v>
      </c>
      <c r="F47" s="486">
        <f t="shared" si="13"/>
        <v>310034</v>
      </c>
      <c r="G47" s="487">
        <f t="shared" si="14"/>
        <v>61822.578545055112</v>
      </c>
      <c r="H47" s="456">
        <f t="shared" si="15"/>
        <v>61822.578545055112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2040</v>
      </c>
      <c r="D48" s="484">
        <f>IF(F47+SUM(E$17:E47)=D$10,F47,D$10-SUM(E$17:E47))</f>
        <v>310034</v>
      </c>
      <c r="E48" s="485">
        <f>IF(+I14&lt;F47,I14,D48)</f>
        <v>19864</v>
      </c>
      <c r="F48" s="486">
        <f t="shared" si="13"/>
        <v>290170</v>
      </c>
      <c r="G48" s="487">
        <f t="shared" si="14"/>
        <v>59134.27595818085</v>
      </c>
      <c r="H48" s="456">
        <f t="shared" si="15"/>
        <v>59134.27595818085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2041</v>
      </c>
      <c r="D49" s="484">
        <f>IF(F48+SUM(E$17:E48)=D$10,F48,D$10-SUM(E$17:E48))</f>
        <v>290170</v>
      </c>
      <c r="E49" s="485">
        <f>IF(+I14&lt;F48,I14,D49)</f>
        <v>19864</v>
      </c>
      <c r="F49" s="486">
        <f t="shared" ref="F49:F72" si="16">+D49-E49</f>
        <v>270306</v>
      </c>
      <c r="G49" s="487">
        <f t="shared" si="14"/>
        <v>56445.973371306587</v>
      </c>
      <c r="H49" s="456">
        <f t="shared" si="15"/>
        <v>56445.973371306587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2042</v>
      </c>
      <c r="D50" s="484">
        <f>IF(F49+SUM(E$17:E49)=D$10,F49,D$10-SUM(E$17:E49))</f>
        <v>270306</v>
      </c>
      <c r="E50" s="485">
        <f>IF(+I14&lt;F49,I14,D50)</f>
        <v>19864</v>
      </c>
      <c r="F50" s="486">
        <f t="shared" si="16"/>
        <v>250442</v>
      </c>
      <c r="G50" s="487">
        <f t="shared" si="14"/>
        <v>53757.670784432332</v>
      </c>
      <c r="H50" s="456">
        <f t="shared" si="15"/>
        <v>53757.670784432332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2043</v>
      </c>
      <c r="D51" s="484">
        <f>IF(F50+SUM(E$17:E50)=D$10,F50,D$10-SUM(E$17:E50))</f>
        <v>250442</v>
      </c>
      <c r="E51" s="485">
        <f>IF(+I14&lt;F50,I14,D51)</f>
        <v>19864</v>
      </c>
      <c r="F51" s="486">
        <f t="shared" si="16"/>
        <v>230578</v>
      </c>
      <c r="G51" s="487">
        <f t="shared" si="14"/>
        <v>51069.368197558069</v>
      </c>
      <c r="H51" s="456">
        <f t="shared" si="15"/>
        <v>51069.368197558069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2044</v>
      </c>
      <c r="D52" s="484">
        <f>IF(F51+SUM(E$17:E51)=D$10,F51,D$10-SUM(E$17:E51))</f>
        <v>230578</v>
      </c>
      <c r="E52" s="485">
        <f>IF(+I14&lt;F51,I14,D52)</f>
        <v>19864</v>
      </c>
      <c r="F52" s="486">
        <f t="shared" si="16"/>
        <v>210714</v>
      </c>
      <c r="G52" s="487">
        <f t="shared" si="14"/>
        <v>48381.065610683807</v>
      </c>
      <c r="H52" s="456">
        <f t="shared" si="15"/>
        <v>48381.065610683807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2045</v>
      </c>
      <c r="D53" s="484">
        <f>IF(F52+SUM(E$17:E52)=D$10,F52,D$10-SUM(E$17:E52))</f>
        <v>210714</v>
      </c>
      <c r="E53" s="485">
        <f>IF(+I14&lt;F52,I14,D53)</f>
        <v>19864</v>
      </c>
      <c r="F53" s="486">
        <f t="shared" si="16"/>
        <v>190850</v>
      </c>
      <c r="G53" s="487">
        <f t="shared" si="14"/>
        <v>45692.763023809544</v>
      </c>
      <c r="H53" s="456">
        <f t="shared" si="15"/>
        <v>45692.763023809544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2046</v>
      </c>
      <c r="D54" s="484">
        <f>IF(F53+SUM(E$17:E53)=D$10,F53,D$10-SUM(E$17:E53))</f>
        <v>190850</v>
      </c>
      <c r="E54" s="485">
        <f>IF(+I14&lt;F53,I14,D54)</f>
        <v>19864</v>
      </c>
      <c r="F54" s="486">
        <f t="shared" si="16"/>
        <v>170986</v>
      </c>
      <c r="G54" s="487">
        <f t="shared" si="14"/>
        <v>43004.460436935282</v>
      </c>
      <c r="H54" s="456">
        <f t="shared" si="15"/>
        <v>43004.460436935282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2047</v>
      </c>
      <c r="D55" s="484">
        <f>IF(F54+SUM(E$17:E54)=D$10,F54,D$10-SUM(E$17:E54))</f>
        <v>170986</v>
      </c>
      <c r="E55" s="485">
        <f>IF(+I14&lt;F54,I14,D55)</f>
        <v>19864</v>
      </c>
      <c r="F55" s="486">
        <f t="shared" si="16"/>
        <v>151122</v>
      </c>
      <c r="G55" s="487">
        <f t="shared" si="14"/>
        <v>40316.157850061019</v>
      </c>
      <c r="H55" s="456">
        <f t="shared" si="15"/>
        <v>40316.157850061019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2048</v>
      </c>
      <c r="D56" s="484">
        <f>IF(F55+SUM(E$17:E55)=D$10,F55,D$10-SUM(E$17:E55))</f>
        <v>151122</v>
      </c>
      <c r="E56" s="485">
        <f>IF(+I14&lt;F55,I14,D56)</f>
        <v>19864</v>
      </c>
      <c r="F56" s="486">
        <f t="shared" si="16"/>
        <v>131258</v>
      </c>
      <c r="G56" s="487">
        <f t="shared" si="14"/>
        <v>37627.855263186764</v>
      </c>
      <c r="H56" s="456">
        <f t="shared" si="15"/>
        <v>37627.855263186764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2049</v>
      </c>
      <c r="D57" s="484">
        <f>IF(F56+SUM(E$17:E56)=D$10,F56,D$10-SUM(E$17:E56))</f>
        <v>131258</v>
      </c>
      <c r="E57" s="485">
        <f>IF(+I14&lt;F56,I14,D57)</f>
        <v>19864</v>
      </c>
      <c r="F57" s="486">
        <f t="shared" si="16"/>
        <v>111394</v>
      </c>
      <c r="G57" s="487">
        <f t="shared" si="14"/>
        <v>34939.552676312494</v>
      </c>
      <c r="H57" s="456">
        <f t="shared" si="15"/>
        <v>34939.552676312494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2050</v>
      </c>
      <c r="D58" s="484">
        <f>IF(F57+SUM(E$17:E57)=D$10,F57,D$10-SUM(E$17:E57))</f>
        <v>111394</v>
      </c>
      <c r="E58" s="485">
        <f>IF(+I14&lt;F57,I14,D58)</f>
        <v>19864</v>
      </c>
      <c r="F58" s="486">
        <f t="shared" si="16"/>
        <v>91530</v>
      </c>
      <c r="G58" s="487">
        <f t="shared" si="14"/>
        <v>32251.250089438239</v>
      </c>
      <c r="H58" s="456">
        <f t="shared" si="15"/>
        <v>32251.250089438239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2051</v>
      </c>
      <c r="D59" s="484">
        <f>IF(F58+SUM(E$17:E58)=D$10,F58,D$10-SUM(E$17:E58))</f>
        <v>91530</v>
      </c>
      <c r="E59" s="485">
        <f>IF(+I14&lt;F58,I14,D59)</f>
        <v>19864</v>
      </c>
      <c r="F59" s="486">
        <f t="shared" si="16"/>
        <v>71666</v>
      </c>
      <c r="G59" s="487">
        <f t="shared" si="14"/>
        <v>29562.947502563977</v>
      </c>
      <c r="H59" s="456">
        <f t="shared" si="15"/>
        <v>29562.947502563977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2052</v>
      </c>
      <c r="D60" s="484">
        <f>IF(F59+SUM(E$17:E59)=D$10,F59,D$10-SUM(E$17:E59))</f>
        <v>71666</v>
      </c>
      <c r="E60" s="485">
        <f>IF(+I14&lt;F59,I14,D60)</f>
        <v>19864</v>
      </c>
      <c r="F60" s="486">
        <f t="shared" si="16"/>
        <v>51802</v>
      </c>
      <c r="G60" s="487">
        <f t="shared" si="14"/>
        <v>26874.644915689714</v>
      </c>
      <c r="H60" s="456">
        <f t="shared" si="15"/>
        <v>26874.644915689714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2053</v>
      </c>
      <c r="D61" s="484">
        <f>IF(F60+SUM(E$17:E60)=D$10,F60,D$10-SUM(E$17:E60))</f>
        <v>51802</v>
      </c>
      <c r="E61" s="485">
        <f>IF(+I14&lt;F60,I14,D61)</f>
        <v>19864</v>
      </c>
      <c r="F61" s="486">
        <f t="shared" si="16"/>
        <v>31938</v>
      </c>
      <c r="G61" s="489">
        <f t="shared" si="14"/>
        <v>24186.342328815452</v>
      </c>
      <c r="H61" s="456">
        <f t="shared" si="15"/>
        <v>24186.342328815452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2054</v>
      </c>
      <c r="D62" s="484">
        <f>IF(F61+SUM(E$17:E61)=D$10,F61,D$10-SUM(E$17:E61))</f>
        <v>31938</v>
      </c>
      <c r="E62" s="485">
        <f>IF(+I14&lt;F61,I14,D62)</f>
        <v>19864</v>
      </c>
      <c r="F62" s="486">
        <f t="shared" si="16"/>
        <v>12074</v>
      </c>
      <c r="G62" s="489">
        <f t="shared" si="14"/>
        <v>21498.039741941193</v>
      </c>
      <c r="H62" s="456">
        <f t="shared" si="15"/>
        <v>21498.039741941193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2055</v>
      </c>
      <c r="D63" s="484">
        <f>IF(F62+SUM(E$17:E62)=D$10,F62,D$10-SUM(E$17:E62))</f>
        <v>12074</v>
      </c>
      <c r="E63" s="485">
        <f>IF(+I14&lt;F62,I14,D63)</f>
        <v>12074</v>
      </c>
      <c r="F63" s="486">
        <f t="shared" si="16"/>
        <v>0</v>
      </c>
      <c r="G63" s="489">
        <f t="shared" si="14"/>
        <v>12074</v>
      </c>
      <c r="H63" s="456">
        <f t="shared" si="15"/>
        <v>12074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2056</v>
      </c>
      <c r="D64" s="484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9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1:16" ht="12.5">
      <c r="B65" s="160" t="str">
        <f t="shared" si="6"/>
        <v/>
      </c>
      <c r="C65" s="473">
        <f>IF(D11="","-",+C64+1)</f>
        <v>2057</v>
      </c>
      <c r="D65" s="484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1:16" ht="12.5">
      <c r="B66" s="160" t="str">
        <f t="shared" si="6"/>
        <v/>
      </c>
      <c r="C66" s="473">
        <f>IF(D11="","-",+C65+1)</f>
        <v>2058</v>
      </c>
      <c r="D66" s="484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1:16" ht="12.5">
      <c r="B67" s="160" t="str">
        <f t="shared" si="6"/>
        <v/>
      </c>
      <c r="C67" s="473">
        <f>IF(D11="","-",+C66+1)</f>
        <v>2059</v>
      </c>
      <c r="D67" s="484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1:16" ht="12.5">
      <c r="B68" s="160" t="str">
        <f t="shared" si="6"/>
        <v/>
      </c>
      <c r="C68" s="473">
        <f>IF(D11="","-",+C67+1)</f>
        <v>2060</v>
      </c>
      <c r="D68" s="484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1:16" ht="12.5">
      <c r="B69" s="160" t="str">
        <f t="shared" si="6"/>
        <v/>
      </c>
      <c r="C69" s="473">
        <f>IF(D11="","-",+C68+1)</f>
        <v>2061</v>
      </c>
      <c r="D69" s="484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1:16" ht="12.5">
      <c r="B70" s="160" t="str">
        <f t="shared" si="6"/>
        <v/>
      </c>
      <c r="C70" s="473">
        <f>IF(D11="","-",+C69+1)</f>
        <v>2062</v>
      </c>
      <c r="D70" s="484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1:16" ht="12.5">
      <c r="B71" s="160" t="str">
        <f t="shared" si="6"/>
        <v/>
      </c>
      <c r="C71" s="473">
        <f>IF(D11="","-",+C70+1)</f>
        <v>2063</v>
      </c>
      <c r="D71" s="484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1:16" ht="13" thickBot="1">
      <c r="B72" s="160" t="str">
        <f t="shared" si="6"/>
        <v/>
      </c>
      <c r="C72" s="490">
        <f>IF(D11="","-",+C71+1)</f>
        <v>2064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14"/>
        <v>0</v>
      </c>
      <c r="H72" s="436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1:16" ht="12.5">
      <c r="C73" s="347" t="s">
        <v>77</v>
      </c>
      <c r="D73" s="348"/>
      <c r="E73" s="348">
        <f>SUM(E17:E72)</f>
        <v>893858</v>
      </c>
      <c r="F73" s="348"/>
      <c r="G73" s="348">
        <f>SUM(G17:G72)</f>
        <v>3679377.6309362301</v>
      </c>
      <c r="H73" s="348">
        <f>SUM(H17:H72)</f>
        <v>3679377.6309362301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1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1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1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1:16" ht="17.5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498"/>
      <c r="P77" s="243"/>
    </row>
    <row r="78" spans="1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1:16" ht="15.5">
      <c r="A79" s="499"/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</row>
    <row r="80" spans="1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500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1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102569.83805108386</v>
      </c>
      <c r="N87" s="509">
        <f>IF(J92&lt;D11,0,VLOOKUP(J92,C17:O72,11))</f>
        <v>102569.83805108386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95202.564794457576</v>
      </c>
      <c r="N88" s="513">
        <f>IF(J92&lt;D11,0,VLOOKUP(J92,C99:P154,7))</f>
        <v>95202.564794457576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Riverside-Glenpool (81-523) Reconductor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-7367.2732566262857</v>
      </c>
      <c r="N89" s="518">
        <f>+N88-N87</f>
        <v>-7367.2732566262857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TP2006087</v>
      </c>
      <c r="E91" s="523"/>
      <c r="F91" s="523"/>
      <c r="G91" s="523"/>
      <c r="H91" s="523"/>
      <c r="I91" s="523"/>
      <c r="J91" s="524"/>
      <c r="K91" s="525"/>
      <c r="P91" s="446"/>
    </row>
    <row r="92" spans="1:16" ht="13">
      <c r="C92" s="447" t="s">
        <v>226</v>
      </c>
      <c r="D92" s="448">
        <v>893858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21801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2009</v>
      </c>
      <c r="D99" s="474">
        <v>0</v>
      </c>
      <c r="E99" s="481">
        <v>7981</v>
      </c>
      <c r="F99" s="480">
        <v>885877</v>
      </c>
      <c r="G99" s="538">
        <v>442938.5</v>
      </c>
      <c r="H99" s="539">
        <v>72742</v>
      </c>
      <c r="I99" s="540">
        <v>72742</v>
      </c>
      <c r="J99" s="479">
        <f t="shared" ref="J99:J130" si="21">+I99-H99</f>
        <v>0</v>
      </c>
      <c r="K99" s="479"/>
      <c r="L99" s="477">
        <f t="shared" ref="L99:L104" si="22">H99</f>
        <v>72742</v>
      </c>
      <c r="M99" s="478">
        <f t="shared" ref="M99:M130" si="23">IF(L99&lt;&gt;0,+H99-L99,0)</f>
        <v>0</v>
      </c>
      <c r="N99" s="477">
        <f t="shared" ref="N99:N104" si="24">I99</f>
        <v>72742</v>
      </c>
      <c r="O99" s="478">
        <f t="shared" ref="O99:O130" si="25">IF(N99&lt;&gt;0,+I99-N99,0)</f>
        <v>0</v>
      </c>
      <c r="P99" s="478">
        <f t="shared" ref="P99:P130" si="26">+O99-M99</f>
        <v>0</v>
      </c>
    </row>
    <row r="100" spans="1:16" ht="12.5">
      <c r="B100" s="160" t="str">
        <f>IF(D100=F99,"","IU")</f>
        <v/>
      </c>
      <c r="C100" s="473">
        <f>IF(D93="","-",+C99+1)</f>
        <v>2010</v>
      </c>
      <c r="D100" s="474">
        <v>885877</v>
      </c>
      <c r="E100" s="481">
        <v>17527</v>
      </c>
      <c r="F100" s="480">
        <v>868350</v>
      </c>
      <c r="G100" s="480">
        <v>877113.5</v>
      </c>
      <c r="H100" s="539">
        <v>158580.20000000001</v>
      </c>
      <c r="I100" s="540">
        <v>158580.20000000001</v>
      </c>
      <c r="J100" s="479">
        <f t="shared" si="21"/>
        <v>0</v>
      </c>
      <c r="K100" s="479"/>
      <c r="L100" s="477">
        <f t="shared" si="22"/>
        <v>158580.20000000001</v>
      </c>
      <c r="M100" s="479">
        <f t="shared" si="23"/>
        <v>0</v>
      </c>
      <c r="N100" s="477">
        <f t="shared" si="24"/>
        <v>158580.20000000001</v>
      </c>
      <c r="O100" s="479">
        <f t="shared" si="25"/>
        <v>0</v>
      </c>
      <c r="P100" s="479">
        <f t="shared" si="26"/>
        <v>0</v>
      </c>
    </row>
    <row r="101" spans="1:16" ht="12.5">
      <c r="B101" s="160" t="str">
        <f t="shared" ref="B101:B154" si="27">IF(D101=F100,"","IU")</f>
        <v/>
      </c>
      <c r="C101" s="483">
        <f>IF(D93="","-",+C100+1)</f>
        <v>2011</v>
      </c>
      <c r="D101" s="474">
        <v>868350</v>
      </c>
      <c r="E101" s="481">
        <v>17190</v>
      </c>
      <c r="F101" s="480">
        <v>851160</v>
      </c>
      <c r="G101" s="480">
        <v>859755</v>
      </c>
      <c r="H101" s="481">
        <v>137395.30233025842</v>
      </c>
      <c r="I101" s="482">
        <v>137395.30233025842</v>
      </c>
      <c r="J101" s="479">
        <f t="shared" si="21"/>
        <v>0</v>
      </c>
      <c r="K101" s="479"/>
      <c r="L101" s="541">
        <f t="shared" si="22"/>
        <v>137395.30233025842</v>
      </c>
      <c r="M101" s="542">
        <f t="shared" si="23"/>
        <v>0</v>
      </c>
      <c r="N101" s="541">
        <f t="shared" si="24"/>
        <v>137395.30233025842</v>
      </c>
      <c r="O101" s="479">
        <f t="shared" si="25"/>
        <v>0</v>
      </c>
      <c r="P101" s="479">
        <f t="shared" si="26"/>
        <v>0</v>
      </c>
    </row>
    <row r="102" spans="1:16" ht="12.5">
      <c r="B102" s="160" t="str">
        <f t="shared" si="27"/>
        <v/>
      </c>
      <c r="C102" s="483">
        <f>IF(D93="","-",+C101+1)</f>
        <v>2012</v>
      </c>
      <c r="D102" s="474">
        <v>851160</v>
      </c>
      <c r="E102" s="481">
        <v>17190</v>
      </c>
      <c r="F102" s="480">
        <v>833970</v>
      </c>
      <c r="G102" s="480">
        <v>842565</v>
      </c>
      <c r="H102" s="481">
        <v>138397.59402070014</v>
      </c>
      <c r="I102" s="482">
        <v>138397.59402070014</v>
      </c>
      <c r="J102" s="479">
        <v>0</v>
      </c>
      <c r="K102" s="479"/>
      <c r="L102" s="541">
        <f t="shared" si="22"/>
        <v>138397.59402070014</v>
      </c>
      <c r="M102" s="542">
        <f t="shared" ref="M102:M107" si="28">IF(L102&lt;&gt;0,+H102-L102,0)</f>
        <v>0</v>
      </c>
      <c r="N102" s="541">
        <f t="shared" si="24"/>
        <v>138397.59402070014</v>
      </c>
      <c r="O102" s="479">
        <f t="shared" ref="O102:O107" si="29">IF(N102&lt;&gt;0,+I102-N102,0)</f>
        <v>0</v>
      </c>
      <c r="P102" s="479">
        <f t="shared" ref="P102:P107" si="30">+O102-M102</f>
        <v>0</v>
      </c>
    </row>
    <row r="103" spans="1:16" ht="12.5">
      <c r="B103" s="160" t="str">
        <f t="shared" si="27"/>
        <v/>
      </c>
      <c r="C103" s="473">
        <f>IF(D93="","-",+C102+1)</f>
        <v>2013</v>
      </c>
      <c r="D103" s="474">
        <v>833970</v>
      </c>
      <c r="E103" s="481">
        <v>17190</v>
      </c>
      <c r="F103" s="480">
        <v>816780</v>
      </c>
      <c r="G103" s="480">
        <v>825375</v>
      </c>
      <c r="H103" s="481">
        <v>135994.14234787846</v>
      </c>
      <c r="I103" s="482">
        <v>135994.14234787846</v>
      </c>
      <c r="J103" s="479">
        <v>0</v>
      </c>
      <c r="K103" s="479"/>
      <c r="L103" s="541">
        <f t="shared" si="22"/>
        <v>135994.14234787846</v>
      </c>
      <c r="M103" s="542">
        <f t="shared" si="28"/>
        <v>0</v>
      </c>
      <c r="N103" s="541">
        <f t="shared" si="24"/>
        <v>135994.14234787846</v>
      </c>
      <c r="O103" s="479">
        <f t="shared" si="29"/>
        <v>0</v>
      </c>
      <c r="P103" s="479">
        <f t="shared" si="30"/>
        <v>0</v>
      </c>
    </row>
    <row r="104" spans="1:16" ht="12.5">
      <c r="B104" s="160" t="str">
        <f t="shared" si="27"/>
        <v/>
      </c>
      <c r="C104" s="473">
        <f>IF(D93="","-",+C103+1)</f>
        <v>2014</v>
      </c>
      <c r="D104" s="474">
        <v>816780</v>
      </c>
      <c r="E104" s="481">
        <v>17190</v>
      </c>
      <c r="F104" s="480">
        <v>799590</v>
      </c>
      <c r="G104" s="480">
        <v>808185</v>
      </c>
      <c r="H104" s="481">
        <v>130817.50733584017</v>
      </c>
      <c r="I104" s="482">
        <v>130817.50733584017</v>
      </c>
      <c r="J104" s="479">
        <v>0</v>
      </c>
      <c r="K104" s="479"/>
      <c r="L104" s="541">
        <f t="shared" si="22"/>
        <v>130817.50733584017</v>
      </c>
      <c r="M104" s="542">
        <f t="shared" si="28"/>
        <v>0</v>
      </c>
      <c r="N104" s="541">
        <f t="shared" si="24"/>
        <v>130817.50733584017</v>
      </c>
      <c r="O104" s="479">
        <f t="shared" si="29"/>
        <v>0</v>
      </c>
      <c r="P104" s="479">
        <f t="shared" si="30"/>
        <v>0</v>
      </c>
    </row>
    <row r="105" spans="1:16" ht="12.5">
      <c r="B105" s="160" t="str">
        <f t="shared" si="27"/>
        <v/>
      </c>
      <c r="C105" s="473">
        <f>IF(D93="","-",+C104+1)</f>
        <v>2015</v>
      </c>
      <c r="D105" s="474">
        <v>799590</v>
      </c>
      <c r="E105" s="481">
        <v>17190</v>
      </c>
      <c r="F105" s="480">
        <v>782400</v>
      </c>
      <c r="G105" s="480">
        <v>790995</v>
      </c>
      <c r="H105" s="481">
        <v>125114.9078367878</v>
      </c>
      <c r="I105" s="482">
        <v>125114.9078367878</v>
      </c>
      <c r="J105" s="479">
        <f t="shared" si="21"/>
        <v>0</v>
      </c>
      <c r="K105" s="479"/>
      <c r="L105" s="541">
        <f>H105</f>
        <v>125114.9078367878</v>
      </c>
      <c r="M105" s="542">
        <f t="shared" si="28"/>
        <v>0</v>
      </c>
      <c r="N105" s="541">
        <f>I105</f>
        <v>125114.9078367878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7"/>
        <v/>
      </c>
      <c r="C106" s="473">
        <f>IF(D93="","-",+C105+1)</f>
        <v>2016</v>
      </c>
      <c r="D106" s="474">
        <v>782400</v>
      </c>
      <c r="E106" s="481">
        <v>19432</v>
      </c>
      <c r="F106" s="480">
        <v>762968</v>
      </c>
      <c r="G106" s="480">
        <v>772684</v>
      </c>
      <c r="H106" s="481">
        <v>119043.13650322839</v>
      </c>
      <c r="I106" s="482">
        <v>119043.13650322839</v>
      </c>
      <c r="J106" s="479">
        <f t="shared" si="21"/>
        <v>0</v>
      </c>
      <c r="K106" s="479"/>
      <c r="L106" s="541">
        <f>H106</f>
        <v>119043.13650322839</v>
      </c>
      <c r="M106" s="542">
        <f t="shared" si="28"/>
        <v>0</v>
      </c>
      <c r="N106" s="541">
        <f>I106</f>
        <v>119043.13650322839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7"/>
        <v/>
      </c>
      <c r="C107" s="473">
        <f>IF(D93="","-",+C106+1)</f>
        <v>2017</v>
      </c>
      <c r="D107" s="474">
        <v>762968</v>
      </c>
      <c r="E107" s="481">
        <v>19432</v>
      </c>
      <c r="F107" s="480">
        <v>743536</v>
      </c>
      <c r="G107" s="480">
        <v>753252</v>
      </c>
      <c r="H107" s="481">
        <v>114983.91552559278</v>
      </c>
      <c r="I107" s="482">
        <v>114983.91552559278</v>
      </c>
      <c r="J107" s="479">
        <f t="shared" si="21"/>
        <v>0</v>
      </c>
      <c r="K107" s="479"/>
      <c r="L107" s="541">
        <f>H107</f>
        <v>114983.91552559278</v>
      </c>
      <c r="M107" s="542">
        <f t="shared" si="28"/>
        <v>0</v>
      </c>
      <c r="N107" s="541">
        <f>I107</f>
        <v>114983.91552559278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7"/>
        <v/>
      </c>
      <c r="C108" s="473">
        <f>IF(D93="","-",+C107+1)</f>
        <v>2018</v>
      </c>
      <c r="D108" s="474">
        <v>743536</v>
      </c>
      <c r="E108" s="481">
        <v>20787</v>
      </c>
      <c r="F108" s="480">
        <v>722749</v>
      </c>
      <c r="G108" s="480">
        <v>733142.5</v>
      </c>
      <c r="H108" s="481">
        <v>96106.810302403712</v>
      </c>
      <c r="I108" s="482">
        <v>96106.810302403712</v>
      </c>
      <c r="J108" s="479">
        <f t="shared" si="21"/>
        <v>0</v>
      </c>
      <c r="K108" s="479"/>
      <c r="L108" s="541">
        <f>H108</f>
        <v>96106.810302403712</v>
      </c>
      <c r="M108" s="542">
        <f t="shared" ref="M108" si="31">IF(L108&lt;&gt;0,+H108-L108,0)</f>
        <v>0</v>
      </c>
      <c r="N108" s="541">
        <f>I108</f>
        <v>96106.810302403712</v>
      </c>
      <c r="O108" s="479">
        <f t="shared" ref="O108" si="32">IF(N108&lt;&gt;0,+I108-N108,0)</f>
        <v>0</v>
      </c>
      <c r="P108" s="479">
        <f t="shared" ref="P108" si="33">+O108-M108</f>
        <v>0</v>
      </c>
    </row>
    <row r="109" spans="1:16" ht="12.5">
      <c r="B109" s="160" t="str">
        <f t="shared" si="27"/>
        <v/>
      </c>
      <c r="C109" s="473">
        <f>IF(D93="","-",+C108+1)</f>
        <v>2019</v>
      </c>
      <c r="D109" s="347">
        <f>IF(F108+SUM(E$99:E108)=D$92,F108,D$92-SUM(E$99:E108))</f>
        <v>722749</v>
      </c>
      <c r="E109" s="487">
        <f>IF(+J96&lt;F108,J96,D109)</f>
        <v>21801</v>
      </c>
      <c r="F109" s="486">
        <f t="shared" ref="F109:F130" si="34">+D109-E109</f>
        <v>700948</v>
      </c>
      <c r="G109" s="486">
        <f t="shared" ref="G109:G130" si="35">+(F109+D109)/2</f>
        <v>711848.5</v>
      </c>
      <c r="H109" s="489">
        <f t="shared" ref="H109:H131" si="36">+J$94*G109+E109</f>
        <v>95202.564794457576</v>
      </c>
      <c r="I109" s="543">
        <f t="shared" ref="I109:I131" si="37">+J$95*G109+E109</f>
        <v>95202.564794457576</v>
      </c>
      <c r="J109" s="479">
        <f t="shared" si="21"/>
        <v>0</v>
      </c>
      <c r="K109" s="479"/>
      <c r="L109" s="488"/>
      <c r="M109" s="479">
        <f t="shared" si="23"/>
        <v>0</v>
      </c>
      <c r="N109" s="488"/>
      <c r="O109" s="479">
        <f t="shared" si="25"/>
        <v>0</v>
      </c>
      <c r="P109" s="479">
        <f t="shared" si="26"/>
        <v>0</v>
      </c>
    </row>
    <row r="110" spans="1:16" ht="12.5">
      <c r="B110" s="160" t="str">
        <f t="shared" si="27"/>
        <v/>
      </c>
      <c r="C110" s="473">
        <f>IF(D93="","-",+C109+1)</f>
        <v>2020</v>
      </c>
      <c r="D110" s="347">
        <f>IF(F109+SUM(E$99:E109)=D$92,F109,D$92-SUM(E$99:E109))</f>
        <v>700948</v>
      </c>
      <c r="E110" s="487">
        <f>IF(+J96&lt;F109,J96,D110)</f>
        <v>21801</v>
      </c>
      <c r="F110" s="486">
        <f t="shared" si="34"/>
        <v>679147</v>
      </c>
      <c r="G110" s="486">
        <f t="shared" si="35"/>
        <v>690047.5</v>
      </c>
      <c r="H110" s="489">
        <f t="shared" si="36"/>
        <v>92954.575911873748</v>
      </c>
      <c r="I110" s="543">
        <f t="shared" si="37"/>
        <v>92954.575911873748</v>
      </c>
      <c r="J110" s="479">
        <f t="shared" si="21"/>
        <v>0</v>
      </c>
      <c r="K110" s="479"/>
      <c r="L110" s="488"/>
      <c r="M110" s="479">
        <f t="shared" si="23"/>
        <v>0</v>
      </c>
      <c r="N110" s="488"/>
      <c r="O110" s="479">
        <f t="shared" si="25"/>
        <v>0</v>
      </c>
      <c r="P110" s="479">
        <f t="shared" si="26"/>
        <v>0</v>
      </c>
    </row>
    <row r="111" spans="1:16" ht="12.5">
      <c r="B111" s="160" t="str">
        <f t="shared" si="27"/>
        <v/>
      </c>
      <c r="C111" s="473">
        <f>IF(D93="","-",+C110+1)</f>
        <v>2021</v>
      </c>
      <c r="D111" s="347">
        <f>IF(F110+SUM(E$99:E110)=D$92,F110,D$92-SUM(E$99:E110))</f>
        <v>679147</v>
      </c>
      <c r="E111" s="487">
        <f>IF(+J96&lt;F110,J96,D111)</f>
        <v>21801</v>
      </c>
      <c r="F111" s="486">
        <f t="shared" si="34"/>
        <v>657346</v>
      </c>
      <c r="G111" s="486">
        <f t="shared" si="35"/>
        <v>668246.5</v>
      </c>
      <c r="H111" s="489">
        <f t="shared" si="36"/>
        <v>90706.587029289934</v>
      </c>
      <c r="I111" s="543">
        <f t="shared" si="37"/>
        <v>90706.587029289934</v>
      </c>
      <c r="J111" s="479">
        <f t="shared" si="21"/>
        <v>0</v>
      </c>
      <c r="K111" s="479"/>
      <c r="L111" s="488"/>
      <c r="M111" s="479">
        <f t="shared" si="23"/>
        <v>0</v>
      </c>
      <c r="N111" s="488"/>
      <c r="O111" s="479">
        <f t="shared" si="25"/>
        <v>0</v>
      </c>
      <c r="P111" s="479">
        <f t="shared" si="26"/>
        <v>0</v>
      </c>
    </row>
    <row r="112" spans="1:16" ht="12.5">
      <c r="B112" s="160" t="str">
        <f t="shared" si="27"/>
        <v/>
      </c>
      <c r="C112" s="473">
        <f>IF(D93="","-",+C111+1)</f>
        <v>2022</v>
      </c>
      <c r="D112" s="347">
        <f>IF(F111+SUM(E$99:E111)=D$92,F111,D$92-SUM(E$99:E111))</f>
        <v>657346</v>
      </c>
      <c r="E112" s="487">
        <f>IF(+J96&lt;F111,J96,D112)</f>
        <v>21801</v>
      </c>
      <c r="F112" s="486">
        <f t="shared" si="34"/>
        <v>635545</v>
      </c>
      <c r="G112" s="486">
        <f t="shared" si="35"/>
        <v>646445.5</v>
      </c>
      <c r="H112" s="489">
        <f t="shared" si="36"/>
        <v>88458.598146706106</v>
      </c>
      <c r="I112" s="543">
        <f t="shared" si="37"/>
        <v>88458.598146706106</v>
      </c>
      <c r="J112" s="479">
        <f t="shared" si="21"/>
        <v>0</v>
      </c>
      <c r="K112" s="479"/>
      <c r="L112" s="488"/>
      <c r="M112" s="479">
        <f t="shared" si="23"/>
        <v>0</v>
      </c>
      <c r="N112" s="488"/>
      <c r="O112" s="479">
        <f t="shared" si="25"/>
        <v>0</v>
      </c>
      <c r="P112" s="479">
        <f t="shared" si="26"/>
        <v>0</v>
      </c>
    </row>
    <row r="113" spans="2:16" ht="12.5">
      <c r="B113" s="160" t="str">
        <f t="shared" si="27"/>
        <v/>
      </c>
      <c r="C113" s="473">
        <f>IF(D93="","-",+C112+1)</f>
        <v>2023</v>
      </c>
      <c r="D113" s="347">
        <f>IF(F112+SUM(E$99:E112)=D$92,F112,D$92-SUM(E$99:E112))</f>
        <v>635545</v>
      </c>
      <c r="E113" s="487">
        <f>IF(+J96&lt;F112,J96,D113)</f>
        <v>21801</v>
      </c>
      <c r="F113" s="486">
        <f t="shared" si="34"/>
        <v>613744</v>
      </c>
      <c r="G113" s="486">
        <f t="shared" si="35"/>
        <v>624644.5</v>
      </c>
      <c r="H113" s="489">
        <f t="shared" si="36"/>
        <v>86210.609264122293</v>
      </c>
      <c r="I113" s="543">
        <f t="shared" si="37"/>
        <v>86210.609264122293</v>
      </c>
      <c r="J113" s="479">
        <f t="shared" si="21"/>
        <v>0</v>
      </c>
      <c r="K113" s="479"/>
      <c r="L113" s="488"/>
      <c r="M113" s="479">
        <f t="shared" si="23"/>
        <v>0</v>
      </c>
      <c r="N113" s="488"/>
      <c r="O113" s="479">
        <f t="shared" si="25"/>
        <v>0</v>
      </c>
      <c r="P113" s="479">
        <f t="shared" si="26"/>
        <v>0</v>
      </c>
    </row>
    <row r="114" spans="2:16" ht="12.5">
      <c r="B114" s="160" t="str">
        <f t="shared" si="27"/>
        <v/>
      </c>
      <c r="C114" s="473">
        <f>IF(D93="","-",+C113+1)</f>
        <v>2024</v>
      </c>
      <c r="D114" s="347">
        <f>IF(F113+SUM(E$99:E113)=D$92,F113,D$92-SUM(E$99:E113))</f>
        <v>613744</v>
      </c>
      <c r="E114" s="487">
        <f>IF(+J96&lt;F113,J96,D114)</f>
        <v>21801</v>
      </c>
      <c r="F114" s="486">
        <f t="shared" si="34"/>
        <v>591943</v>
      </c>
      <c r="G114" s="486">
        <f t="shared" si="35"/>
        <v>602843.5</v>
      </c>
      <c r="H114" s="489">
        <f t="shared" si="36"/>
        <v>83962.620381538465</v>
      </c>
      <c r="I114" s="543">
        <f t="shared" si="37"/>
        <v>83962.620381538465</v>
      </c>
      <c r="J114" s="479">
        <f t="shared" si="21"/>
        <v>0</v>
      </c>
      <c r="K114" s="479"/>
      <c r="L114" s="488"/>
      <c r="M114" s="479">
        <f t="shared" si="23"/>
        <v>0</v>
      </c>
      <c r="N114" s="488"/>
      <c r="O114" s="479">
        <f t="shared" si="25"/>
        <v>0</v>
      </c>
      <c r="P114" s="479">
        <f t="shared" si="26"/>
        <v>0</v>
      </c>
    </row>
    <row r="115" spans="2:16" ht="12.5">
      <c r="B115" s="160" t="str">
        <f t="shared" si="27"/>
        <v/>
      </c>
      <c r="C115" s="473">
        <f>IF(D93="","-",+C114+1)</f>
        <v>2025</v>
      </c>
      <c r="D115" s="347">
        <f>IF(F114+SUM(E$99:E114)=D$92,F114,D$92-SUM(E$99:E114))</f>
        <v>591943</v>
      </c>
      <c r="E115" s="487">
        <f>IF(+J96&lt;F114,J96,D115)</f>
        <v>21801</v>
      </c>
      <c r="F115" s="486">
        <f t="shared" si="34"/>
        <v>570142</v>
      </c>
      <c r="G115" s="486">
        <f t="shared" si="35"/>
        <v>581042.5</v>
      </c>
      <c r="H115" s="489">
        <f t="shared" si="36"/>
        <v>81714.631498954637</v>
      </c>
      <c r="I115" s="543">
        <f t="shared" si="37"/>
        <v>81714.631498954637</v>
      </c>
      <c r="J115" s="479">
        <f t="shared" si="21"/>
        <v>0</v>
      </c>
      <c r="K115" s="479"/>
      <c r="L115" s="488"/>
      <c r="M115" s="479">
        <f t="shared" si="23"/>
        <v>0</v>
      </c>
      <c r="N115" s="488"/>
      <c r="O115" s="479">
        <f t="shared" si="25"/>
        <v>0</v>
      </c>
      <c r="P115" s="479">
        <f t="shared" si="26"/>
        <v>0</v>
      </c>
    </row>
    <row r="116" spans="2:16" ht="12.5">
      <c r="B116" s="160" t="str">
        <f t="shared" si="27"/>
        <v/>
      </c>
      <c r="C116" s="473">
        <f>IF(D93="","-",+C115+1)</f>
        <v>2026</v>
      </c>
      <c r="D116" s="347">
        <f>IF(F115+SUM(E$99:E115)=D$92,F115,D$92-SUM(E$99:E115))</f>
        <v>570142</v>
      </c>
      <c r="E116" s="487">
        <f>IF(+J96&lt;F115,J96,D116)</f>
        <v>21801</v>
      </c>
      <c r="F116" s="486">
        <f t="shared" si="34"/>
        <v>548341</v>
      </c>
      <c r="G116" s="486">
        <f t="shared" si="35"/>
        <v>559241.5</v>
      </c>
      <c r="H116" s="489">
        <f t="shared" si="36"/>
        <v>79466.642616370824</v>
      </c>
      <c r="I116" s="543">
        <f t="shared" si="37"/>
        <v>79466.642616370824</v>
      </c>
      <c r="J116" s="479">
        <f t="shared" si="21"/>
        <v>0</v>
      </c>
      <c r="K116" s="479"/>
      <c r="L116" s="488"/>
      <c r="M116" s="479">
        <f t="shared" si="23"/>
        <v>0</v>
      </c>
      <c r="N116" s="488"/>
      <c r="O116" s="479">
        <f t="shared" si="25"/>
        <v>0</v>
      </c>
      <c r="P116" s="479">
        <f t="shared" si="26"/>
        <v>0</v>
      </c>
    </row>
    <row r="117" spans="2:16" ht="12.5">
      <c r="B117" s="160" t="str">
        <f t="shared" si="27"/>
        <v/>
      </c>
      <c r="C117" s="473">
        <f>IF(D93="","-",+C116+1)</f>
        <v>2027</v>
      </c>
      <c r="D117" s="347">
        <f>IF(F116+SUM(E$99:E116)=D$92,F116,D$92-SUM(E$99:E116))</f>
        <v>548341</v>
      </c>
      <c r="E117" s="487">
        <f>IF(+J96&lt;F116,J96,D117)</f>
        <v>21801</v>
      </c>
      <c r="F117" s="486">
        <f t="shared" si="34"/>
        <v>526540</v>
      </c>
      <c r="G117" s="486">
        <f t="shared" si="35"/>
        <v>537440.5</v>
      </c>
      <c r="H117" s="489">
        <f t="shared" si="36"/>
        <v>77218.653733786996</v>
      </c>
      <c r="I117" s="543">
        <f t="shared" si="37"/>
        <v>77218.653733786996</v>
      </c>
      <c r="J117" s="479">
        <f t="shared" si="21"/>
        <v>0</v>
      </c>
      <c r="K117" s="479"/>
      <c r="L117" s="488"/>
      <c r="M117" s="479">
        <f t="shared" si="23"/>
        <v>0</v>
      </c>
      <c r="N117" s="488"/>
      <c r="O117" s="479">
        <f t="shared" si="25"/>
        <v>0</v>
      </c>
      <c r="P117" s="479">
        <f t="shared" si="26"/>
        <v>0</v>
      </c>
    </row>
    <row r="118" spans="2:16" ht="12.5">
      <c r="B118" s="160" t="str">
        <f t="shared" si="27"/>
        <v/>
      </c>
      <c r="C118" s="473">
        <f>IF(D93="","-",+C117+1)</f>
        <v>2028</v>
      </c>
      <c r="D118" s="347">
        <f>IF(F117+SUM(E$99:E117)=D$92,F117,D$92-SUM(E$99:E117))</f>
        <v>526540</v>
      </c>
      <c r="E118" s="487">
        <f>IF(+J96&lt;F117,J96,D118)</f>
        <v>21801</v>
      </c>
      <c r="F118" s="486">
        <f t="shared" si="34"/>
        <v>504739</v>
      </c>
      <c r="G118" s="486">
        <f t="shared" si="35"/>
        <v>515639.5</v>
      </c>
      <c r="H118" s="489">
        <f t="shared" si="36"/>
        <v>74970.664851203182</v>
      </c>
      <c r="I118" s="543">
        <f t="shared" si="37"/>
        <v>74970.664851203182</v>
      </c>
      <c r="J118" s="479">
        <f t="shared" si="21"/>
        <v>0</v>
      </c>
      <c r="K118" s="479"/>
      <c r="L118" s="488"/>
      <c r="M118" s="479">
        <f t="shared" si="23"/>
        <v>0</v>
      </c>
      <c r="N118" s="488"/>
      <c r="O118" s="479">
        <f t="shared" si="25"/>
        <v>0</v>
      </c>
      <c r="P118" s="479">
        <f t="shared" si="26"/>
        <v>0</v>
      </c>
    </row>
    <row r="119" spans="2:16" ht="12.5">
      <c r="B119" s="160" t="str">
        <f t="shared" si="27"/>
        <v/>
      </c>
      <c r="C119" s="473">
        <f>IF(D93="","-",+C118+1)</f>
        <v>2029</v>
      </c>
      <c r="D119" s="347">
        <f>IF(F118+SUM(E$99:E118)=D$92,F118,D$92-SUM(E$99:E118))</f>
        <v>504739</v>
      </c>
      <c r="E119" s="487">
        <f>IF(+J96&lt;F118,J96,D119)</f>
        <v>21801</v>
      </c>
      <c r="F119" s="486">
        <f t="shared" si="34"/>
        <v>482938</v>
      </c>
      <c r="G119" s="486">
        <f t="shared" si="35"/>
        <v>493838.5</v>
      </c>
      <c r="H119" s="489">
        <f t="shared" si="36"/>
        <v>72722.675968619355</v>
      </c>
      <c r="I119" s="543">
        <f t="shared" si="37"/>
        <v>72722.675968619355</v>
      </c>
      <c r="J119" s="479">
        <f t="shared" si="21"/>
        <v>0</v>
      </c>
      <c r="K119" s="479"/>
      <c r="L119" s="488"/>
      <c r="M119" s="479">
        <f t="shared" si="23"/>
        <v>0</v>
      </c>
      <c r="N119" s="488"/>
      <c r="O119" s="479">
        <f t="shared" si="25"/>
        <v>0</v>
      </c>
      <c r="P119" s="479">
        <f t="shared" si="26"/>
        <v>0</v>
      </c>
    </row>
    <row r="120" spans="2:16" ht="12.5">
      <c r="B120" s="160" t="str">
        <f t="shared" si="27"/>
        <v/>
      </c>
      <c r="C120" s="473">
        <f>IF(D93="","-",+C119+1)</f>
        <v>2030</v>
      </c>
      <c r="D120" s="347">
        <f>IF(F119+SUM(E$99:E119)=D$92,F119,D$92-SUM(E$99:E119))</f>
        <v>482938</v>
      </c>
      <c r="E120" s="487">
        <f>IF(+J96&lt;F119,J96,D120)</f>
        <v>21801</v>
      </c>
      <c r="F120" s="486">
        <f t="shared" si="34"/>
        <v>461137</v>
      </c>
      <c r="G120" s="486">
        <f t="shared" si="35"/>
        <v>472037.5</v>
      </c>
      <c r="H120" s="489">
        <f t="shared" si="36"/>
        <v>70474.687086035527</v>
      </c>
      <c r="I120" s="543">
        <f t="shared" si="37"/>
        <v>70474.687086035527</v>
      </c>
      <c r="J120" s="479">
        <f t="shared" si="21"/>
        <v>0</v>
      </c>
      <c r="K120" s="479"/>
      <c r="L120" s="488"/>
      <c r="M120" s="479">
        <f t="shared" si="23"/>
        <v>0</v>
      </c>
      <c r="N120" s="488"/>
      <c r="O120" s="479">
        <f t="shared" si="25"/>
        <v>0</v>
      </c>
      <c r="P120" s="479">
        <f t="shared" si="26"/>
        <v>0</v>
      </c>
    </row>
    <row r="121" spans="2:16" ht="12.5">
      <c r="B121" s="160" t="str">
        <f t="shared" si="27"/>
        <v/>
      </c>
      <c r="C121" s="473">
        <f>IF(D93="","-",+C120+1)</f>
        <v>2031</v>
      </c>
      <c r="D121" s="347">
        <f>IF(F120+SUM(E$99:E120)=D$92,F120,D$92-SUM(E$99:E120))</f>
        <v>461137</v>
      </c>
      <c r="E121" s="487">
        <f>IF(+J96&lt;F120,J96,D121)</f>
        <v>21801</v>
      </c>
      <c r="F121" s="486">
        <f t="shared" si="34"/>
        <v>439336</v>
      </c>
      <c r="G121" s="486">
        <f t="shared" si="35"/>
        <v>450236.5</v>
      </c>
      <c r="H121" s="489">
        <f t="shared" si="36"/>
        <v>68226.698203451713</v>
      </c>
      <c r="I121" s="543">
        <f t="shared" si="37"/>
        <v>68226.698203451713</v>
      </c>
      <c r="J121" s="479">
        <f t="shared" si="21"/>
        <v>0</v>
      </c>
      <c r="K121" s="479"/>
      <c r="L121" s="488"/>
      <c r="M121" s="479">
        <f t="shared" si="23"/>
        <v>0</v>
      </c>
      <c r="N121" s="488"/>
      <c r="O121" s="479">
        <f t="shared" si="25"/>
        <v>0</v>
      </c>
      <c r="P121" s="479">
        <f t="shared" si="26"/>
        <v>0</v>
      </c>
    </row>
    <row r="122" spans="2:16" ht="12.5">
      <c r="B122" s="160" t="str">
        <f t="shared" si="27"/>
        <v/>
      </c>
      <c r="C122" s="473">
        <f>IF(D93="","-",+C121+1)</f>
        <v>2032</v>
      </c>
      <c r="D122" s="347">
        <f>IF(F121+SUM(E$99:E121)=D$92,F121,D$92-SUM(E$99:E121))</f>
        <v>439336</v>
      </c>
      <c r="E122" s="487">
        <f>IF(+J96&lt;F121,J96,D122)</f>
        <v>21801</v>
      </c>
      <c r="F122" s="486">
        <f t="shared" si="34"/>
        <v>417535</v>
      </c>
      <c r="G122" s="486">
        <f t="shared" si="35"/>
        <v>428435.5</v>
      </c>
      <c r="H122" s="489">
        <f t="shared" si="36"/>
        <v>65978.7093208679</v>
      </c>
      <c r="I122" s="543">
        <f t="shared" si="37"/>
        <v>65978.7093208679</v>
      </c>
      <c r="J122" s="479">
        <f t="shared" si="21"/>
        <v>0</v>
      </c>
      <c r="K122" s="479"/>
      <c r="L122" s="488"/>
      <c r="M122" s="479">
        <f t="shared" si="23"/>
        <v>0</v>
      </c>
      <c r="N122" s="488"/>
      <c r="O122" s="479">
        <f t="shared" si="25"/>
        <v>0</v>
      </c>
      <c r="P122" s="479">
        <f t="shared" si="26"/>
        <v>0</v>
      </c>
    </row>
    <row r="123" spans="2:16" ht="12.5">
      <c r="B123" s="160" t="str">
        <f t="shared" si="27"/>
        <v/>
      </c>
      <c r="C123" s="473">
        <f>IF(D93="","-",+C122+1)</f>
        <v>2033</v>
      </c>
      <c r="D123" s="347">
        <f>IF(F122+SUM(E$99:E122)=D$92,F122,D$92-SUM(E$99:E122))</f>
        <v>417535</v>
      </c>
      <c r="E123" s="487">
        <f>IF(+J96&lt;F122,J96,D123)</f>
        <v>21801</v>
      </c>
      <c r="F123" s="486">
        <f t="shared" si="34"/>
        <v>395734</v>
      </c>
      <c r="G123" s="486">
        <f t="shared" si="35"/>
        <v>406634.5</v>
      </c>
      <c r="H123" s="489">
        <f t="shared" si="36"/>
        <v>63730.720438284072</v>
      </c>
      <c r="I123" s="543">
        <f t="shared" si="37"/>
        <v>63730.720438284072</v>
      </c>
      <c r="J123" s="479">
        <f t="shared" si="21"/>
        <v>0</v>
      </c>
      <c r="K123" s="479"/>
      <c r="L123" s="488"/>
      <c r="M123" s="479">
        <f t="shared" si="23"/>
        <v>0</v>
      </c>
      <c r="N123" s="488"/>
      <c r="O123" s="479">
        <f t="shared" si="25"/>
        <v>0</v>
      </c>
      <c r="P123" s="479">
        <f t="shared" si="26"/>
        <v>0</v>
      </c>
    </row>
    <row r="124" spans="2:16" ht="12.5">
      <c r="B124" s="160" t="str">
        <f t="shared" si="27"/>
        <v/>
      </c>
      <c r="C124" s="473">
        <f>IF(D93="","-",+C123+1)</f>
        <v>2034</v>
      </c>
      <c r="D124" s="347">
        <f>IF(F123+SUM(E$99:E123)=D$92,F123,D$92-SUM(E$99:E123))</f>
        <v>395734</v>
      </c>
      <c r="E124" s="487">
        <f>IF(+J96&lt;F123,J96,D124)</f>
        <v>21801</v>
      </c>
      <c r="F124" s="486">
        <f t="shared" si="34"/>
        <v>373933</v>
      </c>
      <c r="G124" s="486">
        <f t="shared" si="35"/>
        <v>384833.5</v>
      </c>
      <c r="H124" s="489">
        <f t="shared" si="36"/>
        <v>61482.731555700251</v>
      </c>
      <c r="I124" s="543">
        <f t="shared" si="37"/>
        <v>61482.731555700251</v>
      </c>
      <c r="J124" s="479">
        <f t="shared" si="21"/>
        <v>0</v>
      </c>
      <c r="K124" s="479"/>
      <c r="L124" s="488"/>
      <c r="M124" s="479">
        <f t="shared" si="23"/>
        <v>0</v>
      </c>
      <c r="N124" s="488"/>
      <c r="O124" s="479">
        <f t="shared" si="25"/>
        <v>0</v>
      </c>
      <c r="P124" s="479">
        <f t="shared" si="26"/>
        <v>0</v>
      </c>
    </row>
    <row r="125" spans="2:16" ht="12.5">
      <c r="B125" s="160" t="str">
        <f t="shared" si="27"/>
        <v/>
      </c>
      <c r="C125" s="473">
        <f>IF(D93="","-",+C124+1)</f>
        <v>2035</v>
      </c>
      <c r="D125" s="347">
        <f>IF(F124+SUM(E$99:E124)=D$92,F124,D$92-SUM(E$99:E124))</f>
        <v>373933</v>
      </c>
      <c r="E125" s="487">
        <f>IF(+J96&lt;F124,J96,D125)</f>
        <v>21801</v>
      </c>
      <c r="F125" s="486">
        <f t="shared" si="34"/>
        <v>352132</v>
      </c>
      <c r="G125" s="486">
        <f t="shared" si="35"/>
        <v>363032.5</v>
      </c>
      <c r="H125" s="489">
        <f t="shared" si="36"/>
        <v>59234.742673116423</v>
      </c>
      <c r="I125" s="543">
        <f t="shared" si="37"/>
        <v>59234.742673116423</v>
      </c>
      <c r="J125" s="479">
        <f t="shared" si="21"/>
        <v>0</v>
      </c>
      <c r="K125" s="479"/>
      <c r="L125" s="488"/>
      <c r="M125" s="479">
        <f t="shared" si="23"/>
        <v>0</v>
      </c>
      <c r="N125" s="488"/>
      <c r="O125" s="479">
        <f t="shared" si="25"/>
        <v>0</v>
      </c>
      <c r="P125" s="479">
        <f t="shared" si="26"/>
        <v>0</v>
      </c>
    </row>
    <row r="126" spans="2:16" ht="12.5">
      <c r="B126" s="160" t="str">
        <f t="shared" si="27"/>
        <v/>
      </c>
      <c r="C126" s="473">
        <f>IF(D93="","-",+C125+1)</f>
        <v>2036</v>
      </c>
      <c r="D126" s="347">
        <f>IF(F125+SUM(E$99:E125)=D$92,F125,D$92-SUM(E$99:E125))</f>
        <v>352132</v>
      </c>
      <c r="E126" s="487">
        <f>IF(+J96&lt;F125,J96,D126)</f>
        <v>21801</v>
      </c>
      <c r="F126" s="486">
        <f t="shared" si="34"/>
        <v>330331</v>
      </c>
      <c r="G126" s="486">
        <f t="shared" si="35"/>
        <v>341231.5</v>
      </c>
      <c r="H126" s="489">
        <f t="shared" si="36"/>
        <v>56986.753790532603</v>
      </c>
      <c r="I126" s="543">
        <f t="shared" si="37"/>
        <v>56986.753790532603</v>
      </c>
      <c r="J126" s="479">
        <f t="shared" si="21"/>
        <v>0</v>
      </c>
      <c r="K126" s="479"/>
      <c r="L126" s="488"/>
      <c r="M126" s="479">
        <f t="shared" si="23"/>
        <v>0</v>
      </c>
      <c r="N126" s="488"/>
      <c r="O126" s="479">
        <f t="shared" si="25"/>
        <v>0</v>
      </c>
      <c r="P126" s="479">
        <f t="shared" si="26"/>
        <v>0</v>
      </c>
    </row>
    <row r="127" spans="2:16" ht="12.5">
      <c r="B127" s="160" t="str">
        <f t="shared" si="27"/>
        <v/>
      </c>
      <c r="C127" s="473">
        <f>IF(D93="","-",+C126+1)</f>
        <v>2037</v>
      </c>
      <c r="D127" s="347">
        <f>IF(F126+SUM(E$99:E126)=D$92,F126,D$92-SUM(E$99:E126))</f>
        <v>330331</v>
      </c>
      <c r="E127" s="487">
        <f>IF(+J96&lt;F126,J96,D127)</f>
        <v>21801</v>
      </c>
      <c r="F127" s="486">
        <f t="shared" si="34"/>
        <v>308530</v>
      </c>
      <c r="G127" s="486">
        <f t="shared" si="35"/>
        <v>319430.5</v>
      </c>
      <c r="H127" s="489">
        <f t="shared" si="36"/>
        <v>54738.764907948782</v>
      </c>
      <c r="I127" s="543">
        <f t="shared" si="37"/>
        <v>54738.764907948782</v>
      </c>
      <c r="J127" s="479">
        <f t="shared" si="21"/>
        <v>0</v>
      </c>
      <c r="K127" s="479"/>
      <c r="L127" s="488"/>
      <c r="M127" s="479">
        <f t="shared" si="23"/>
        <v>0</v>
      </c>
      <c r="N127" s="488"/>
      <c r="O127" s="479">
        <f t="shared" si="25"/>
        <v>0</v>
      </c>
      <c r="P127" s="479">
        <f t="shared" si="26"/>
        <v>0</v>
      </c>
    </row>
    <row r="128" spans="2:16" ht="12.5">
      <c r="B128" s="160" t="str">
        <f t="shared" si="27"/>
        <v/>
      </c>
      <c r="C128" s="473">
        <f>IF(D93="","-",+C127+1)</f>
        <v>2038</v>
      </c>
      <c r="D128" s="347">
        <f>IF(F127+SUM(E$99:E127)=D$92,F127,D$92-SUM(E$99:E127))</f>
        <v>308530</v>
      </c>
      <c r="E128" s="487">
        <f>IF(+J96&lt;F127,J96,D128)</f>
        <v>21801</v>
      </c>
      <c r="F128" s="486">
        <f t="shared" si="34"/>
        <v>286729</v>
      </c>
      <c r="G128" s="486">
        <f t="shared" si="35"/>
        <v>297629.5</v>
      </c>
      <c r="H128" s="489">
        <f t="shared" si="36"/>
        <v>52490.776025364961</v>
      </c>
      <c r="I128" s="543">
        <f t="shared" si="37"/>
        <v>52490.776025364961</v>
      </c>
      <c r="J128" s="479">
        <f t="shared" si="21"/>
        <v>0</v>
      </c>
      <c r="K128" s="479"/>
      <c r="L128" s="488"/>
      <c r="M128" s="479">
        <f t="shared" si="23"/>
        <v>0</v>
      </c>
      <c r="N128" s="488"/>
      <c r="O128" s="479">
        <f t="shared" si="25"/>
        <v>0</v>
      </c>
      <c r="P128" s="479">
        <f t="shared" si="26"/>
        <v>0</v>
      </c>
    </row>
    <row r="129" spans="2:16" ht="12.5">
      <c r="B129" s="160" t="str">
        <f t="shared" si="27"/>
        <v/>
      </c>
      <c r="C129" s="473">
        <f>IF(D93="","-",+C128+1)</f>
        <v>2039</v>
      </c>
      <c r="D129" s="347">
        <f>IF(F128+SUM(E$99:E128)=D$92,F128,D$92-SUM(E$99:E128))</f>
        <v>286729</v>
      </c>
      <c r="E129" s="487">
        <f>IF(+J96&lt;F128,J96,D129)</f>
        <v>21801</v>
      </c>
      <c r="F129" s="486">
        <f t="shared" si="34"/>
        <v>264928</v>
      </c>
      <c r="G129" s="486">
        <f t="shared" si="35"/>
        <v>275828.5</v>
      </c>
      <c r="H129" s="489">
        <f t="shared" si="36"/>
        <v>50242.787142781141</v>
      </c>
      <c r="I129" s="543">
        <f t="shared" si="37"/>
        <v>50242.787142781141</v>
      </c>
      <c r="J129" s="479">
        <f t="shared" si="21"/>
        <v>0</v>
      </c>
      <c r="K129" s="479"/>
      <c r="L129" s="488"/>
      <c r="M129" s="479">
        <f t="shared" si="23"/>
        <v>0</v>
      </c>
      <c r="N129" s="488"/>
      <c r="O129" s="479">
        <f t="shared" si="25"/>
        <v>0</v>
      </c>
      <c r="P129" s="479">
        <f t="shared" si="26"/>
        <v>0</v>
      </c>
    </row>
    <row r="130" spans="2:16" ht="12.5">
      <c r="B130" s="160" t="str">
        <f t="shared" si="27"/>
        <v/>
      </c>
      <c r="C130" s="473">
        <f>IF(D93="","-",+C129+1)</f>
        <v>2040</v>
      </c>
      <c r="D130" s="347">
        <f>IF(F129+SUM(E$99:E129)=D$92,F129,D$92-SUM(E$99:E129))</f>
        <v>264928</v>
      </c>
      <c r="E130" s="487">
        <f>IF(+J96&lt;F129,J96,D130)</f>
        <v>21801</v>
      </c>
      <c r="F130" s="486">
        <f t="shared" si="34"/>
        <v>243127</v>
      </c>
      <c r="G130" s="486">
        <f t="shared" si="35"/>
        <v>254027.5</v>
      </c>
      <c r="H130" s="489">
        <f t="shared" si="36"/>
        <v>47994.79826019732</v>
      </c>
      <c r="I130" s="543">
        <f t="shared" si="37"/>
        <v>47994.79826019732</v>
      </c>
      <c r="J130" s="479">
        <f t="shared" si="21"/>
        <v>0</v>
      </c>
      <c r="K130" s="479"/>
      <c r="L130" s="488"/>
      <c r="M130" s="479">
        <f t="shared" si="23"/>
        <v>0</v>
      </c>
      <c r="N130" s="488"/>
      <c r="O130" s="479">
        <f t="shared" si="25"/>
        <v>0</v>
      </c>
      <c r="P130" s="479">
        <f t="shared" si="26"/>
        <v>0</v>
      </c>
    </row>
    <row r="131" spans="2:16" ht="12.5">
      <c r="B131" s="160" t="str">
        <f t="shared" si="27"/>
        <v/>
      </c>
      <c r="C131" s="473">
        <f>IF(D93="","-",+C130+1)</f>
        <v>2041</v>
      </c>
      <c r="D131" s="347">
        <f>IF(F130+SUM(E$99:E130)=D$92,F130,D$92-SUM(E$99:E130))</f>
        <v>243127</v>
      </c>
      <c r="E131" s="487">
        <f>IF(+J96&lt;F130,J96,D131)</f>
        <v>21801</v>
      </c>
      <c r="F131" s="486">
        <f t="shared" ref="F131:F154" si="38">+D131-E131</f>
        <v>221326</v>
      </c>
      <c r="G131" s="486">
        <f t="shared" ref="G131:G154" si="39">+(F131+D131)/2</f>
        <v>232226.5</v>
      </c>
      <c r="H131" s="489">
        <f t="shared" si="36"/>
        <v>45746.809377613492</v>
      </c>
      <c r="I131" s="543">
        <f t="shared" si="37"/>
        <v>45746.809377613492</v>
      </c>
      <c r="J131" s="479">
        <f t="shared" ref="J131:J154" si="40">+I131-H131</f>
        <v>0</v>
      </c>
      <c r="K131" s="479"/>
      <c r="L131" s="488"/>
      <c r="M131" s="479">
        <f t="shared" ref="M131:M154" si="41">IF(L131&lt;&gt;0,+H131-L131,0)</f>
        <v>0</v>
      </c>
      <c r="N131" s="488"/>
      <c r="O131" s="479">
        <f t="shared" ref="O131:O154" si="42">IF(N131&lt;&gt;0,+I131-N131,0)</f>
        <v>0</v>
      </c>
      <c r="P131" s="479">
        <f t="shared" ref="P131:P154" si="43">+O131-M131</f>
        <v>0</v>
      </c>
    </row>
    <row r="132" spans="2:16" ht="12.5">
      <c r="B132" s="160" t="str">
        <f t="shared" si="27"/>
        <v/>
      </c>
      <c r="C132" s="473">
        <f>IF(D93="","-",+C131+1)</f>
        <v>2042</v>
      </c>
      <c r="D132" s="347">
        <f>IF(F131+SUM(E$99:E131)=D$92,F131,D$92-SUM(E$99:E131))</f>
        <v>221326</v>
      </c>
      <c r="E132" s="487">
        <f>IF(+J96&lt;F131,J96,D132)</f>
        <v>21801</v>
      </c>
      <c r="F132" s="486">
        <f t="shared" si="38"/>
        <v>199525</v>
      </c>
      <c r="G132" s="486">
        <f t="shared" si="39"/>
        <v>210425.5</v>
      </c>
      <c r="H132" s="489">
        <f t="shared" ref="H132:H154" si="44">+J$94*G132+E132</f>
        <v>43498.820495029679</v>
      </c>
      <c r="I132" s="543">
        <f t="shared" ref="I132:I154" si="45">+J$95*G132+E132</f>
        <v>43498.820495029679</v>
      </c>
      <c r="J132" s="479">
        <f t="shared" si="40"/>
        <v>0</v>
      </c>
      <c r="K132" s="479"/>
      <c r="L132" s="488"/>
      <c r="M132" s="479">
        <f t="shared" si="41"/>
        <v>0</v>
      </c>
      <c r="N132" s="488"/>
      <c r="O132" s="479">
        <f t="shared" si="42"/>
        <v>0</v>
      </c>
      <c r="P132" s="479">
        <f t="shared" si="43"/>
        <v>0</v>
      </c>
    </row>
    <row r="133" spans="2:16" ht="12.5">
      <c r="B133" s="160" t="str">
        <f t="shared" si="27"/>
        <v/>
      </c>
      <c r="C133" s="473">
        <f>IF(D93="","-",+C132+1)</f>
        <v>2043</v>
      </c>
      <c r="D133" s="347">
        <f>IF(F132+SUM(E$99:E132)=D$92,F132,D$92-SUM(E$99:E132))</f>
        <v>199525</v>
      </c>
      <c r="E133" s="487">
        <f>IF(+J96&lt;F132,J96,D133)</f>
        <v>21801</v>
      </c>
      <c r="F133" s="486">
        <f t="shared" si="38"/>
        <v>177724</v>
      </c>
      <c r="G133" s="486">
        <f t="shared" si="39"/>
        <v>188624.5</v>
      </c>
      <c r="H133" s="489">
        <f t="shared" si="44"/>
        <v>41250.831612445851</v>
      </c>
      <c r="I133" s="543">
        <f t="shared" si="45"/>
        <v>41250.831612445851</v>
      </c>
      <c r="J133" s="479">
        <f t="shared" si="40"/>
        <v>0</v>
      </c>
      <c r="K133" s="479"/>
      <c r="L133" s="488"/>
      <c r="M133" s="479">
        <f t="shared" si="41"/>
        <v>0</v>
      </c>
      <c r="N133" s="488"/>
      <c r="O133" s="479">
        <f t="shared" si="42"/>
        <v>0</v>
      </c>
      <c r="P133" s="479">
        <f t="shared" si="43"/>
        <v>0</v>
      </c>
    </row>
    <row r="134" spans="2:16" ht="12.5">
      <c r="B134" s="160" t="str">
        <f t="shared" si="27"/>
        <v/>
      </c>
      <c r="C134" s="473">
        <f>IF(D93="","-",+C133+1)</f>
        <v>2044</v>
      </c>
      <c r="D134" s="347">
        <f>IF(F133+SUM(E$99:E133)=D$92,F133,D$92-SUM(E$99:E133))</f>
        <v>177724</v>
      </c>
      <c r="E134" s="487">
        <f>IF(+J96&lt;F133,J96,D134)</f>
        <v>21801</v>
      </c>
      <c r="F134" s="486">
        <f t="shared" si="38"/>
        <v>155923</v>
      </c>
      <c r="G134" s="486">
        <f t="shared" si="39"/>
        <v>166823.5</v>
      </c>
      <c r="H134" s="489">
        <f t="shared" si="44"/>
        <v>39002.842729862037</v>
      </c>
      <c r="I134" s="543">
        <f t="shared" si="45"/>
        <v>39002.842729862037</v>
      </c>
      <c r="J134" s="479">
        <f t="shared" si="40"/>
        <v>0</v>
      </c>
      <c r="K134" s="479"/>
      <c r="L134" s="488"/>
      <c r="M134" s="479">
        <f t="shared" si="41"/>
        <v>0</v>
      </c>
      <c r="N134" s="488"/>
      <c r="O134" s="479">
        <f t="shared" si="42"/>
        <v>0</v>
      </c>
      <c r="P134" s="479">
        <f t="shared" si="43"/>
        <v>0</v>
      </c>
    </row>
    <row r="135" spans="2:16" ht="12.5">
      <c r="B135" s="160" t="str">
        <f t="shared" si="27"/>
        <v/>
      </c>
      <c r="C135" s="473">
        <f>IF(D93="","-",+C134+1)</f>
        <v>2045</v>
      </c>
      <c r="D135" s="347">
        <f>IF(F134+SUM(E$99:E134)=D$92,F134,D$92-SUM(E$99:E134))</f>
        <v>155923</v>
      </c>
      <c r="E135" s="487">
        <f>IF(+J96&lt;F134,J96,D135)</f>
        <v>21801</v>
      </c>
      <c r="F135" s="486">
        <f t="shared" si="38"/>
        <v>134122</v>
      </c>
      <c r="G135" s="486">
        <f t="shared" si="39"/>
        <v>145022.5</v>
      </c>
      <c r="H135" s="489">
        <f t="shared" si="44"/>
        <v>36754.853847278209</v>
      </c>
      <c r="I135" s="543">
        <f t="shared" si="45"/>
        <v>36754.853847278209</v>
      </c>
      <c r="J135" s="479">
        <f t="shared" si="40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3"/>
        <v>0</v>
      </c>
    </row>
    <row r="136" spans="2:16" ht="12.5">
      <c r="B136" s="160" t="str">
        <f t="shared" si="27"/>
        <v/>
      </c>
      <c r="C136" s="473">
        <f>IF(D93="","-",+C135+1)</f>
        <v>2046</v>
      </c>
      <c r="D136" s="347">
        <f>IF(F135+SUM(E$99:E135)=D$92,F135,D$92-SUM(E$99:E135))</f>
        <v>134122</v>
      </c>
      <c r="E136" s="487">
        <f>IF(+J96&lt;F135,J96,D136)</f>
        <v>21801</v>
      </c>
      <c r="F136" s="486">
        <f t="shared" si="38"/>
        <v>112321</v>
      </c>
      <c r="G136" s="486">
        <f t="shared" si="39"/>
        <v>123221.5</v>
      </c>
      <c r="H136" s="489">
        <f t="shared" si="44"/>
        <v>34506.864964694389</v>
      </c>
      <c r="I136" s="543">
        <f t="shared" si="45"/>
        <v>34506.864964694389</v>
      </c>
      <c r="J136" s="479">
        <f t="shared" si="40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3"/>
        <v>0</v>
      </c>
    </row>
    <row r="137" spans="2:16" ht="12.5">
      <c r="B137" s="160" t="str">
        <f t="shared" si="27"/>
        <v/>
      </c>
      <c r="C137" s="473">
        <f>IF(D93="","-",+C136+1)</f>
        <v>2047</v>
      </c>
      <c r="D137" s="347">
        <f>IF(F136+SUM(E$99:E136)=D$92,F136,D$92-SUM(E$99:E136))</f>
        <v>112321</v>
      </c>
      <c r="E137" s="487">
        <f>IF(+J96&lt;F136,J96,D137)</f>
        <v>21801</v>
      </c>
      <c r="F137" s="486">
        <f t="shared" si="38"/>
        <v>90520</v>
      </c>
      <c r="G137" s="486">
        <f t="shared" si="39"/>
        <v>101420.5</v>
      </c>
      <c r="H137" s="489">
        <f t="shared" si="44"/>
        <v>32258.876082110568</v>
      </c>
      <c r="I137" s="543">
        <f t="shared" si="45"/>
        <v>32258.876082110568</v>
      </c>
      <c r="J137" s="479">
        <f t="shared" si="40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3"/>
        <v>0</v>
      </c>
    </row>
    <row r="138" spans="2:16" ht="12.5">
      <c r="B138" s="160" t="str">
        <f t="shared" si="27"/>
        <v/>
      </c>
      <c r="C138" s="473">
        <f>IF(D93="","-",+C137+1)</f>
        <v>2048</v>
      </c>
      <c r="D138" s="347">
        <f>IF(F137+SUM(E$99:E137)=D$92,F137,D$92-SUM(E$99:E137))</f>
        <v>90520</v>
      </c>
      <c r="E138" s="487">
        <f>IF(+J96&lt;F137,J96,D138)</f>
        <v>21801</v>
      </c>
      <c r="F138" s="486">
        <f t="shared" si="38"/>
        <v>68719</v>
      </c>
      <c r="G138" s="486">
        <f t="shared" si="39"/>
        <v>79619.5</v>
      </c>
      <c r="H138" s="489">
        <f t="shared" si="44"/>
        <v>30010.887199526747</v>
      </c>
      <c r="I138" s="543">
        <f t="shared" si="45"/>
        <v>30010.887199526747</v>
      </c>
      <c r="J138" s="479">
        <f t="shared" si="40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3"/>
        <v>0</v>
      </c>
    </row>
    <row r="139" spans="2:16" ht="12.5">
      <c r="B139" s="160" t="str">
        <f t="shared" si="27"/>
        <v/>
      </c>
      <c r="C139" s="473">
        <f>IF(D93="","-",+C138+1)</f>
        <v>2049</v>
      </c>
      <c r="D139" s="347">
        <f>IF(F138+SUM(E$99:E138)=D$92,F138,D$92-SUM(E$99:E138))</f>
        <v>68719</v>
      </c>
      <c r="E139" s="487">
        <f>IF(+J96&lt;F138,J96,D139)</f>
        <v>21801</v>
      </c>
      <c r="F139" s="486">
        <f t="shared" si="38"/>
        <v>46918</v>
      </c>
      <c r="G139" s="486">
        <f t="shared" si="39"/>
        <v>57818.5</v>
      </c>
      <c r="H139" s="489">
        <f t="shared" si="44"/>
        <v>27762.898316942923</v>
      </c>
      <c r="I139" s="543">
        <f t="shared" si="45"/>
        <v>27762.898316942923</v>
      </c>
      <c r="J139" s="479">
        <f t="shared" si="40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3"/>
        <v>0</v>
      </c>
    </row>
    <row r="140" spans="2:16" ht="12.5">
      <c r="B140" s="160" t="str">
        <f t="shared" si="27"/>
        <v/>
      </c>
      <c r="C140" s="473">
        <f>IF(D93="","-",+C139+1)</f>
        <v>2050</v>
      </c>
      <c r="D140" s="347">
        <f>IF(F139+SUM(E$99:E139)=D$92,F139,D$92-SUM(E$99:E139))</f>
        <v>46918</v>
      </c>
      <c r="E140" s="487">
        <f>IF(+J96&lt;F139,J96,D140)</f>
        <v>21801</v>
      </c>
      <c r="F140" s="486">
        <f t="shared" si="38"/>
        <v>25117</v>
      </c>
      <c r="G140" s="486">
        <f t="shared" si="39"/>
        <v>36017.5</v>
      </c>
      <c r="H140" s="489">
        <f t="shared" si="44"/>
        <v>25514.909434359102</v>
      </c>
      <c r="I140" s="543">
        <f t="shared" si="45"/>
        <v>25514.909434359102</v>
      </c>
      <c r="J140" s="479">
        <f t="shared" si="40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3"/>
        <v>0</v>
      </c>
    </row>
    <row r="141" spans="2:16" ht="12.5">
      <c r="B141" s="160" t="str">
        <f t="shared" si="27"/>
        <v/>
      </c>
      <c r="C141" s="473">
        <f>IF(D93="","-",+C140+1)</f>
        <v>2051</v>
      </c>
      <c r="D141" s="347">
        <f>IF(F140+SUM(E$99:E140)=D$92,F140,D$92-SUM(E$99:E140))</f>
        <v>25117</v>
      </c>
      <c r="E141" s="487">
        <f>IF(+J96&lt;F140,J96,D141)</f>
        <v>21801</v>
      </c>
      <c r="F141" s="486">
        <f t="shared" si="38"/>
        <v>3316</v>
      </c>
      <c r="G141" s="486">
        <f t="shared" si="39"/>
        <v>14216.5</v>
      </c>
      <c r="H141" s="489">
        <f t="shared" si="44"/>
        <v>23266.920551775282</v>
      </c>
      <c r="I141" s="543">
        <f t="shared" si="45"/>
        <v>23266.920551775282</v>
      </c>
      <c r="J141" s="479">
        <f t="shared" si="40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3"/>
        <v>0</v>
      </c>
    </row>
    <row r="142" spans="2:16" ht="12.5">
      <c r="B142" s="160" t="str">
        <f t="shared" si="27"/>
        <v/>
      </c>
      <c r="C142" s="473">
        <f>IF(D93="","-",+C141+1)</f>
        <v>2052</v>
      </c>
      <c r="D142" s="347">
        <f>IF(F141+SUM(E$99:E141)=D$92,F141,D$92-SUM(E$99:E141))</f>
        <v>3316</v>
      </c>
      <c r="E142" s="487">
        <f>IF(+J96&lt;F141,J96,D142)</f>
        <v>3316</v>
      </c>
      <c r="F142" s="486">
        <f t="shared" si="38"/>
        <v>0</v>
      </c>
      <c r="G142" s="486">
        <f t="shared" si="39"/>
        <v>1658</v>
      </c>
      <c r="H142" s="489">
        <f t="shared" si="44"/>
        <v>3486.9630552416852</v>
      </c>
      <c r="I142" s="543">
        <f t="shared" si="45"/>
        <v>3486.9630552416852</v>
      </c>
      <c r="J142" s="479">
        <f t="shared" si="40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3"/>
        <v>0</v>
      </c>
    </row>
    <row r="143" spans="2:16" ht="12.5">
      <c r="B143" s="160" t="str">
        <f t="shared" si="27"/>
        <v/>
      </c>
      <c r="C143" s="473">
        <f>IF(D93="","-",+C142+1)</f>
        <v>2053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8"/>
        <v>0</v>
      </c>
      <c r="G143" s="486">
        <f t="shared" si="39"/>
        <v>0</v>
      </c>
      <c r="H143" s="489">
        <f t="shared" si="44"/>
        <v>0</v>
      </c>
      <c r="I143" s="543">
        <f t="shared" si="45"/>
        <v>0</v>
      </c>
      <c r="J143" s="479">
        <f t="shared" si="40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3"/>
        <v>0</v>
      </c>
    </row>
    <row r="144" spans="2:16" ht="12.5">
      <c r="B144" s="160" t="str">
        <f t="shared" si="27"/>
        <v/>
      </c>
      <c r="C144" s="473">
        <f>IF(D93="","-",+C143+1)</f>
        <v>2054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8"/>
        <v>0</v>
      </c>
      <c r="G144" s="486">
        <f t="shared" si="39"/>
        <v>0</v>
      </c>
      <c r="H144" s="489">
        <f t="shared" si="44"/>
        <v>0</v>
      </c>
      <c r="I144" s="543">
        <f t="shared" si="45"/>
        <v>0</v>
      </c>
      <c r="J144" s="479">
        <f t="shared" si="40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3"/>
        <v>0</v>
      </c>
    </row>
    <row r="145" spans="2:16" ht="12.5">
      <c r="B145" s="160" t="str">
        <f t="shared" si="27"/>
        <v/>
      </c>
      <c r="C145" s="473">
        <f>IF(D93="","-",+C144+1)</f>
        <v>2055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8"/>
        <v>0</v>
      </c>
      <c r="G145" s="486">
        <f t="shared" si="39"/>
        <v>0</v>
      </c>
      <c r="H145" s="489">
        <f t="shared" si="44"/>
        <v>0</v>
      </c>
      <c r="I145" s="543">
        <f t="shared" si="45"/>
        <v>0</v>
      </c>
      <c r="J145" s="479">
        <f t="shared" si="40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3"/>
        <v>0</v>
      </c>
    </row>
    <row r="146" spans="2:16" ht="12.5">
      <c r="B146" s="160" t="str">
        <f t="shared" si="27"/>
        <v/>
      </c>
      <c r="C146" s="473">
        <f>IF(D93="","-",+C145+1)</f>
        <v>2056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8"/>
        <v>0</v>
      </c>
      <c r="G146" s="486">
        <f t="shared" si="39"/>
        <v>0</v>
      </c>
      <c r="H146" s="489">
        <f t="shared" si="44"/>
        <v>0</v>
      </c>
      <c r="I146" s="543">
        <f t="shared" si="45"/>
        <v>0</v>
      </c>
      <c r="J146" s="479">
        <f t="shared" si="40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3"/>
        <v>0</v>
      </c>
    </row>
    <row r="147" spans="2:16" ht="12.5">
      <c r="B147" s="160" t="str">
        <f t="shared" si="27"/>
        <v/>
      </c>
      <c r="C147" s="473">
        <f>IF(D93="","-",+C146+1)</f>
        <v>2057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8"/>
        <v>0</v>
      </c>
      <c r="G147" s="486">
        <f t="shared" si="39"/>
        <v>0</v>
      </c>
      <c r="H147" s="489">
        <f t="shared" si="44"/>
        <v>0</v>
      </c>
      <c r="I147" s="543">
        <f t="shared" si="45"/>
        <v>0</v>
      </c>
      <c r="J147" s="479">
        <f t="shared" si="40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3"/>
        <v>0</v>
      </c>
    </row>
    <row r="148" spans="2:16" ht="12.5">
      <c r="B148" s="160" t="str">
        <f t="shared" si="27"/>
        <v/>
      </c>
      <c r="C148" s="473">
        <f>IF(D93="","-",+C147+1)</f>
        <v>2058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8"/>
        <v>0</v>
      </c>
      <c r="G148" s="486">
        <f t="shared" si="39"/>
        <v>0</v>
      </c>
      <c r="H148" s="489">
        <f t="shared" si="44"/>
        <v>0</v>
      </c>
      <c r="I148" s="543">
        <f t="shared" si="45"/>
        <v>0</v>
      </c>
      <c r="J148" s="479">
        <f t="shared" si="40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3"/>
        <v>0</v>
      </c>
    </row>
    <row r="149" spans="2:16" ht="12.5">
      <c r="B149" s="160" t="str">
        <f t="shared" si="27"/>
        <v/>
      </c>
      <c r="C149" s="473">
        <f>IF(D93="","-",+C148+1)</f>
        <v>2059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8"/>
        <v>0</v>
      </c>
      <c r="G149" s="486">
        <f t="shared" si="39"/>
        <v>0</v>
      </c>
      <c r="H149" s="489">
        <f t="shared" si="44"/>
        <v>0</v>
      </c>
      <c r="I149" s="543">
        <f t="shared" si="45"/>
        <v>0</v>
      </c>
      <c r="J149" s="479">
        <f t="shared" si="40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3"/>
        <v>0</v>
      </c>
    </row>
    <row r="150" spans="2:16" ht="12.5">
      <c r="B150" s="160" t="str">
        <f t="shared" si="27"/>
        <v/>
      </c>
      <c r="C150" s="473">
        <f>IF(D93="","-",+C149+1)</f>
        <v>2060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8"/>
        <v>0</v>
      </c>
      <c r="G150" s="486">
        <f t="shared" si="39"/>
        <v>0</v>
      </c>
      <c r="H150" s="489">
        <f t="shared" si="44"/>
        <v>0</v>
      </c>
      <c r="I150" s="543">
        <f t="shared" si="45"/>
        <v>0</v>
      </c>
      <c r="J150" s="479">
        <f t="shared" si="40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3"/>
        <v>0</v>
      </c>
    </row>
    <row r="151" spans="2:16" ht="12.5">
      <c r="B151" s="160" t="str">
        <f t="shared" si="27"/>
        <v/>
      </c>
      <c r="C151" s="473">
        <f>IF(D93="","-",+C150+1)</f>
        <v>2061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8"/>
        <v>0</v>
      </c>
      <c r="G151" s="486">
        <f t="shared" si="39"/>
        <v>0</v>
      </c>
      <c r="H151" s="489">
        <f t="shared" si="44"/>
        <v>0</v>
      </c>
      <c r="I151" s="543">
        <f t="shared" si="45"/>
        <v>0</v>
      </c>
      <c r="J151" s="479">
        <f t="shared" si="40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3"/>
        <v>0</v>
      </c>
    </row>
    <row r="152" spans="2:16" ht="12.5">
      <c r="B152" s="160" t="str">
        <f t="shared" si="27"/>
        <v/>
      </c>
      <c r="C152" s="473">
        <f>IF(D93="","-",+C151+1)</f>
        <v>2062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8"/>
        <v>0</v>
      </c>
      <c r="G152" s="486">
        <f t="shared" si="39"/>
        <v>0</v>
      </c>
      <c r="H152" s="489">
        <f t="shared" si="44"/>
        <v>0</v>
      </c>
      <c r="I152" s="543">
        <f t="shared" si="45"/>
        <v>0</v>
      </c>
      <c r="J152" s="479">
        <f t="shared" si="40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3"/>
        <v>0</v>
      </c>
    </row>
    <row r="153" spans="2:16" ht="12.5">
      <c r="B153" s="160" t="str">
        <f t="shared" si="27"/>
        <v/>
      </c>
      <c r="C153" s="473">
        <f>IF(D93="","-",+C152+1)</f>
        <v>2063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8"/>
        <v>0</v>
      </c>
      <c r="G153" s="486">
        <f t="shared" si="39"/>
        <v>0</v>
      </c>
      <c r="H153" s="489">
        <f t="shared" si="44"/>
        <v>0</v>
      </c>
      <c r="I153" s="543">
        <f t="shared" si="45"/>
        <v>0</v>
      </c>
      <c r="J153" s="479">
        <f t="shared" si="40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3"/>
        <v>0</v>
      </c>
    </row>
    <row r="154" spans="2:16" ht="13" thickBot="1">
      <c r="B154" s="160" t="str">
        <f t="shared" si="27"/>
        <v/>
      </c>
      <c r="C154" s="490">
        <f>IF(D93="","-",+C153+1)</f>
        <v>2064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8"/>
        <v>0</v>
      </c>
      <c r="G154" s="491">
        <f t="shared" si="39"/>
        <v>0</v>
      </c>
      <c r="H154" s="493">
        <f t="shared" si="44"/>
        <v>0</v>
      </c>
      <c r="I154" s="546">
        <f t="shared" si="45"/>
        <v>0</v>
      </c>
      <c r="J154" s="496">
        <f t="shared" si="40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893858</v>
      </c>
      <c r="F155" s="348"/>
      <c r="G155" s="348"/>
      <c r="H155" s="348">
        <f>SUM(H99:H154)</f>
        <v>3187408.9874707744</v>
      </c>
      <c r="I155" s="348">
        <f>SUM(I99:I154)</f>
        <v>3187408.9874707744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49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2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532941.26061774243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532941.26061774243</v>
      </c>
      <c r="O6" s="233"/>
      <c r="P6" s="233"/>
    </row>
    <row r="7" spans="1:16" ht="13.5" thickBot="1">
      <c r="C7" s="432" t="s">
        <v>46</v>
      </c>
      <c r="D7" s="433" t="s">
        <v>210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80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4688896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2009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104197.68888888889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C17" s="473">
        <f>IF(D11= "","-",D11)</f>
        <v>2009</v>
      </c>
      <c r="D17" s="474">
        <v>6704177</v>
      </c>
      <c r="E17" s="475">
        <v>73788</v>
      </c>
      <c r="F17" s="474">
        <v>6630389</v>
      </c>
      <c r="G17" s="475">
        <v>750999</v>
      </c>
      <c r="H17" s="475">
        <v>750999</v>
      </c>
      <c r="I17" s="476">
        <f t="shared" ref="I17:I48" si="0">H17-G17</f>
        <v>0</v>
      </c>
      <c r="J17" s="476"/>
      <c r="K17" s="477">
        <v>750999</v>
      </c>
      <c r="L17" s="478">
        <f t="shared" ref="L17:L48" si="1">IF(K17&lt;&gt;0,+G17-K17,0)</f>
        <v>0</v>
      </c>
      <c r="M17" s="477">
        <v>750999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2010</v>
      </c>
      <c r="D18" s="480">
        <v>4651603</v>
      </c>
      <c r="E18" s="481">
        <v>84382</v>
      </c>
      <c r="F18" s="480">
        <v>4567221</v>
      </c>
      <c r="G18" s="481">
        <v>743416</v>
      </c>
      <c r="H18" s="482">
        <v>743416</v>
      </c>
      <c r="I18" s="476">
        <f t="shared" si="0"/>
        <v>0</v>
      </c>
      <c r="J18" s="476"/>
      <c r="K18" s="477">
        <f t="shared" ref="K18:K23" si="4">G18</f>
        <v>743416</v>
      </c>
      <c r="L18" s="551">
        <f t="shared" si="1"/>
        <v>0</v>
      </c>
      <c r="M18" s="477">
        <f t="shared" ref="M18:M23" si="5">H18</f>
        <v>743416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2011</v>
      </c>
      <c r="D19" s="480">
        <v>4530726</v>
      </c>
      <c r="E19" s="481">
        <v>91939.137254901958</v>
      </c>
      <c r="F19" s="480">
        <v>4438786.8627450978</v>
      </c>
      <c r="G19" s="481">
        <v>786801.66702531651</v>
      </c>
      <c r="H19" s="482">
        <v>786801.66702531651</v>
      </c>
      <c r="I19" s="476">
        <f t="shared" si="0"/>
        <v>0</v>
      </c>
      <c r="J19" s="476"/>
      <c r="K19" s="477">
        <f t="shared" si="4"/>
        <v>786801.66702531651</v>
      </c>
      <c r="L19" s="551">
        <f t="shared" si="1"/>
        <v>0</v>
      </c>
      <c r="M19" s="477">
        <f t="shared" si="5"/>
        <v>786801.66702531651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2012</v>
      </c>
      <c r="D20" s="480">
        <v>4438786.8627450978</v>
      </c>
      <c r="E20" s="481">
        <v>90171.076923076922</v>
      </c>
      <c r="F20" s="480">
        <v>4348615.7858220208</v>
      </c>
      <c r="G20" s="481">
        <v>695527.67751323315</v>
      </c>
      <c r="H20" s="482">
        <v>695527.67751323315</v>
      </c>
      <c r="I20" s="476">
        <f t="shared" si="0"/>
        <v>0</v>
      </c>
      <c r="J20" s="476"/>
      <c r="K20" s="477">
        <f t="shared" si="4"/>
        <v>695527.67751323315</v>
      </c>
      <c r="L20" s="551">
        <f t="shared" si="1"/>
        <v>0</v>
      </c>
      <c r="M20" s="477">
        <f t="shared" si="5"/>
        <v>695527.67751323315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IF(D12="","-",+C20+1)</f>
        <v>2013</v>
      </c>
      <c r="D21" s="480">
        <v>4348615.7858220208</v>
      </c>
      <c r="E21" s="481">
        <v>90171.076923076922</v>
      </c>
      <c r="F21" s="480">
        <v>4258444.7088989438</v>
      </c>
      <c r="G21" s="481">
        <v>698305.7699783385</v>
      </c>
      <c r="H21" s="482">
        <v>698305.7699783385</v>
      </c>
      <c r="I21" s="476">
        <v>0</v>
      </c>
      <c r="J21" s="476"/>
      <c r="K21" s="477">
        <f t="shared" si="4"/>
        <v>698305.7699783385</v>
      </c>
      <c r="L21" s="551">
        <f t="shared" ref="L21:L26" si="7">IF(K21&lt;&gt;0,+G21-K21,0)</f>
        <v>0</v>
      </c>
      <c r="M21" s="477">
        <f t="shared" si="5"/>
        <v>698305.7699783385</v>
      </c>
      <c r="N21" s="479">
        <f t="shared" ref="N21:N26" si="8">IF(M21&lt;&gt;0,+H21-M21,0)</f>
        <v>0</v>
      </c>
      <c r="O21" s="479">
        <f t="shared" ref="O21:O26" si="9">+N21-L21</f>
        <v>0</v>
      </c>
      <c r="P21" s="243"/>
    </row>
    <row r="22" spans="2:16" ht="12.5">
      <c r="B22" s="160" t="str">
        <f t="shared" si="6"/>
        <v/>
      </c>
      <c r="C22" s="473">
        <f>IF(D11="","-",+C21+1)</f>
        <v>2014</v>
      </c>
      <c r="D22" s="480">
        <v>4258444.7088989438</v>
      </c>
      <c r="E22" s="481">
        <v>90171.076923076922</v>
      </c>
      <c r="F22" s="480">
        <v>4168273.6319758669</v>
      </c>
      <c r="G22" s="481">
        <v>663970.48849892756</v>
      </c>
      <c r="H22" s="482">
        <v>663970.48849892756</v>
      </c>
      <c r="I22" s="476">
        <v>0</v>
      </c>
      <c r="J22" s="476"/>
      <c r="K22" s="477">
        <f t="shared" si="4"/>
        <v>663970.48849892756</v>
      </c>
      <c r="L22" s="551">
        <f t="shared" si="7"/>
        <v>0</v>
      </c>
      <c r="M22" s="477">
        <f t="shared" si="5"/>
        <v>663970.48849892756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2015</v>
      </c>
      <c r="D23" s="480">
        <v>4168273.6319758669</v>
      </c>
      <c r="E23" s="481">
        <v>90171.076923076922</v>
      </c>
      <c r="F23" s="480">
        <v>4078102.5550527899</v>
      </c>
      <c r="G23" s="481">
        <v>652425.83265151177</v>
      </c>
      <c r="H23" s="482">
        <v>652425.83265151177</v>
      </c>
      <c r="I23" s="476">
        <v>0</v>
      </c>
      <c r="J23" s="476"/>
      <c r="K23" s="477">
        <f t="shared" si="4"/>
        <v>652425.83265151177</v>
      </c>
      <c r="L23" s="551">
        <f t="shared" si="7"/>
        <v>0</v>
      </c>
      <c r="M23" s="477">
        <f t="shared" si="5"/>
        <v>652425.83265151177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2016</v>
      </c>
      <c r="D24" s="480">
        <v>4078102.5550527899</v>
      </c>
      <c r="E24" s="481">
        <v>90171.076923076922</v>
      </c>
      <c r="F24" s="480">
        <v>3987931.4781297129</v>
      </c>
      <c r="G24" s="481">
        <v>613226.71011811122</v>
      </c>
      <c r="H24" s="482">
        <v>613226.71011811122</v>
      </c>
      <c r="I24" s="476">
        <f t="shared" si="0"/>
        <v>0</v>
      </c>
      <c r="J24" s="476"/>
      <c r="K24" s="477">
        <f>G24</f>
        <v>613226.71011811122</v>
      </c>
      <c r="L24" s="551">
        <f t="shared" si="7"/>
        <v>0</v>
      </c>
      <c r="M24" s="477">
        <f>H24</f>
        <v>613226.71011811122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2017</v>
      </c>
      <c r="D25" s="480">
        <v>3987931.4781297129</v>
      </c>
      <c r="E25" s="481">
        <v>101932.52173913043</v>
      </c>
      <c r="F25" s="480">
        <v>3885998.9563905825</v>
      </c>
      <c r="G25" s="481">
        <v>596467.29312714399</v>
      </c>
      <c r="H25" s="482">
        <v>596467.29312714399</v>
      </c>
      <c r="I25" s="476">
        <f t="shared" si="0"/>
        <v>0</v>
      </c>
      <c r="J25" s="552"/>
      <c r="K25" s="477">
        <f>G25</f>
        <v>596467.29312714399</v>
      </c>
      <c r="L25" s="551">
        <f t="shared" si="7"/>
        <v>0</v>
      </c>
      <c r="M25" s="477">
        <f>H25</f>
        <v>596467.29312714399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2018</v>
      </c>
      <c r="D26" s="480">
        <v>3885998.9563905825</v>
      </c>
      <c r="E26" s="481">
        <v>104197.68888888889</v>
      </c>
      <c r="F26" s="480">
        <v>3781801.2675016937</v>
      </c>
      <c r="G26" s="481">
        <v>563341.50507496181</v>
      </c>
      <c r="H26" s="482">
        <v>563341.50507496181</v>
      </c>
      <c r="I26" s="476">
        <f t="shared" si="0"/>
        <v>0</v>
      </c>
      <c r="J26" s="552"/>
      <c r="K26" s="477">
        <f>G26</f>
        <v>563341.50507496181</v>
      </c>
      <c r="L26" s="551">
        <f t="shared" si="7"/>
        <v>0</v>
      </c>
      <c r="M26" s="477">
        <f>H26</f>
        <v>563341.50507496181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2019</v>
      </c>
      <c r="D27" s="480">
        <v>3781801.2675016937</v>
      </c>
      <c r="E27" s="481">
        <v>117222.39999999999</v>
      </c>
      <c r="F27" s="480">
        <v>3664578.8675016938</v>
      </c>
      <c r="G27" s="481">
        <v>532941.26061774243</v>
      </c>
      <c r="H27" s="482">
        <v>532941.26061774243</v>
      </c>
      <c r="I27" s="476">
        <f t="shared" si="0"/>
        <v>0</v>
      </c>
      <c r="J27" s="553"/>
      <c r="K27" s="477">
        <f>G27</f>
        <v>532941.26061774243</v>
      </c>
      <c r="L27" s="551">
        <f t="shared" ref="L27" si="10">IF(K27&lt;&gt;0,+G27-K27,0)</f>
        <v>0</v>
      </c>
      <c r="M27" s="477">
        <f>H27</f>
        <v>532941.26061774243</v>
      </c>
      <c r="N27" s="479">
        <f t="shared" ref="N27" si="11">IF(M27&lt;&gt;0,+H27-M27,0)</f>
        <v>0</v>
      </c>
      <c r="O27" s="479">
        <f t="shared" ref="O27" si="12">+N27-L27</f>
        <v>0</v>
      </c>
      <c r="P27" s="243"/>
    </row>
    <row r="28" spans="2:16" ht="12.5">
      <c r="B28" s="160" t="str">
        <f t="shared" si="6"/>
        <v/>
      </c>
      <c r="C28" s="473">
        <f>IF(D11="","-",+C27+1)</f>
        <v>2020</v>
      </c>
      <c r="D28" s="486">
        <f>IF(F27+SUM(E$17:E27)=D$10,F27,D$10-SUM(E$17:E27))</f>
        <v>3664578.8675016938</v>
      </c>
      <c r="E28" s="485">
        <f>IF(+I14&lt;F27,I14,D28)</f>
        <v>104197.68888888889</v>
      </c>
      <c r="F28" s="486">
        <f t="shared" ref="F28:F48" si="13">+D28-E28</f>
        <v>3560381.178612805</v>
      </c>
      <c r="G28" s="487">
        <f t="shared" ref="G28:G72" si="14">+I$12*F28+E28</f>
        <v>586043.33592489548</v>
      </c>
      <c r="H28" s="456">
        <f t="shared" ref="H28:H72" si="15">+I$13*F28+E28</f>
        <v>586043.33592489548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6"/>
        <v/>
      </c>
      <c r="C29" s="473">
        <f>IF(D11="","-",+C28+1)</f>
        <v>2021</v>
      </c>
      <c r="D29" s="486">
        <f>IF(F28+SUM(E$17:E28)=D$10,F28,D$10-SUM(E$17:E28))</f>
        <v>3560381.178612805</v>
      </c>
      <c r="E29" s="485">
        <f>IF(+I14&lt;F28,I14,D29)</f>
        <v>104197.68888888889</v>
      </c>
      <c r="F29" s="486">
        <f t="shared" si="13"/>
        <v>3456183.4897239162</v>
      </c>
      <c r="G29" s="487">
        <f t="shared" si="14"/>
        <v>571941.69896424713</v>
      </c>
      <c r="H29" s="456">
        <f t="shared" si="15"/>
        <v>571941.69896424713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2022</v>
      </c>
      <c r="D30" s="486">
        <f>IF(F29+SUM(E$17:E29)=D$10,F29,D$10-SUM(E$17:E29))</f>
        <v>3456183.4897239162</v>
      </c>
      <c r="E30" s="485">
        <f>IF(+I14&lt;F29,I14,D30)</f>
        <v>104197.68888888889</v>
      </c>
      <c r="F30" s="486">
        <f t="shared" si="13"/>
        <v>3351985.8008350274</v>
      </c>
      <c r="G30" s="487">
        <f t="shared" si="14"/>
        <v>557840.06200359878</v>
      </c>
      <c r="H30" s="456">
        <f t="shared" si="15"/>
        <v>557840.06200359878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2023</v>
      </c>
      <c r="D31" s="486">
        <f>IF(F30+SUM(E$17:E30)=D$10,F30,D$10-SUM(E$17:E30))</f>
        <v>3351985.8008350274</v>
      </c>
      <c r="E31" s="485">
        <f>IF(+I14&lt;F30,I14,D31)</f>
        <v>104197.68888888889</v>
      </c>
      <c r="F31" s="486">
        <f t="shared" si="13"/>
        <v>3247788.1119461386</v>
      </c>
      <c r="G31" s="487">
        <f t="shared" si="14"/>
        <v>543738.42504295043</v>
      </c>
      <c r="H31" s="456">
        <f t="shared" si="15"/>
        <v>543738.42504295043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2024</v>
      </c>
      <c r="D32" s="486">
        <f>IF(F31+SUM(E$17:E31)=D$10,F31,D$10-SUM(E$17:E31))</f>
        <v>3247788.1119461386</v>
      </c>
      <c r="E32" s="485">
        <f>IF(+I14&lt;F31,I14,D32)</f>
        <v>104197.68888888889</v>
      </c>
      <c r="F32" s="486">
        <f t="shared" si="13"/>
        <v>3143590.4230572497</v>
      </c>
      <c r="G32" s="487">
        <f t="shared" si="14"/>
        <v>529636.78808230197</v>
      </c>
      <c r="H32" s="456">
        <f t="shared" si="15"/>
        <v>529636.78808230197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2025</v>
      </c>
      <c r="D33" s="486">
        <f>IF(F32+SUM(E$17:E32)=D$10,F32,D$10-SUM(E$17:E32))</f>
        <v>3143590.4230572497</v>
      </c>
      <c r="E33" s="485">
        <f>IF(+I14&lt;F32,I14,D33)</f>
        <v>104197.68888888889</v>
      </c>
      <c r="F33" s="486">
        <f t="shared" si="13"/>
        <v>3039392.7341683609</v>
      </c>
      <c r="G33" s="487">
        <f t="shared" si="14"/>
        <v>515535.15112165362</v>
      </c>
      <c r="H33" s="456">
        <f t="shared" si="15"/>
        <v>515535.15112165362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2026</v>
      </c>
      <c r="D34" s="486">
        <f>IF(F33+SUM(E$17:E33)=D$10,F33,D$10-SUM(E$17:E33))</f>
        <v>3039392.7341683609</v>
      </c>
      <c r="E34" s="485">
        <f>IF(+I14&lt;F33,I14,D34)</f>
        <v>104197.68888888889</v>
      </c>
      <c r="F34" s="486">
        <f t="shared" si="13"/>
        <v>2935195.0452794721</v>
      </c>
      <c r="G34" s="487">
        <f t="shared" si="14"/>
        <v>501433.51416100527</v>
      </c>
      <c r="H34" s="456">
        <f t="shared" si="15"/>
        <v>501433.51416100527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2027</v>
      </c>
      <c r="D35" s="486">
        <f>IF(F34+SUM(E$17:E34)=D$10,F34,D$10-SUM(E$17:E34))</f>
        <v>2935195.0452794721</v>
      </c>
      <c r="E35" s="485">
        <f>IF(+I14&lt;F34,I14,D35)</f>
        <v>104197.68888888889</v>
      </c>
      <c r="F35" s="486">
        <f t="shared" si="13"/>
        <v>2830997.3563905833</v>
      </c>
      <c r="G35" s="487">
        <f t="shared" si="14"/>
        <v>487331.87720035692</v>
      </c>
      <c r="H35" s="456">
        <f t="shared" si="15"/>
        <v>487331.87720035692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2028</v>
      </c>
      <c r="D36" s="486">
        <f>IF(F35+SUM(E$17:E35)=D$10,F35,D$10-SUM(E$17:E35))</f>
        <v>2830997.3563905833</v>
      </c>
      <c r="E36" s="485">
        <f>IF(+I14&lt;F35,I14,D36)</f>
        <v>104197.68888888889</v>
      </c>
      <c r="F36" s="486">
        <f t="shared" si="13"/>
        <v>2726799.6675016945</v>
      </c>
      <c r="G36" s="487">
        <f t="shared" si="14"/>
        <v>473230.24023970857</v>
      </c>
      <c r="H36" s="456">
        <f t="shared" si="15"/>
        <v>473230.24023970857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2029</v>
      </c>
      <c r="D37" s="486">
        <f>IF(F36+SUM(E$17:E36)=D$10,F36,D$10-SUM(E$17:E36))</f>
        <v>2726799.6675016945</v>
      </c>
      <c r="E37" s="485">
        <f>IF(+I14&lt;F36,I14,D37)</f>
        <v>104197.68888888889</v>
      </c>
      <c r="F37" s="486">
        <f t="shared" si="13"/>
        <v>2622601.9786128057</v>
      </c>
      <c r="G37" s="487">
        <f t="shared" si="14"/>
        <v>459128.60327906022</v>
      </c>
      <c r="H37" s="456">
        <f t="shared" si="15"/>
        <v>459128.60327906022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2030</v>
      </c>
      <c r="D38" s="486">
        <f>IF(F37+SUM(E$17:E37)=D$10,F37,D$10-SUM(E$17:E37))</f>
        <v>2622601.9786128057</v>
      </c>
      <c r="E38" s="485">
        <f>IF(+I14&lt;F37,I14,D38)</f>
        <v>104197.68888888889</v>
      </c>
      <c r="F38" s="486">
        <f t="shared" si="13"/>
        <v>2518404.2897239169</v>
      </c>
      <c r="G38" s="487">
        <f t="shared" si="14"/>
        <v>445026.96631841175</v>
      </c>
      <c r="H38" s="456">
        <f t="shared" si="15"/>
        <v>445026.96631841175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2031</v>
      </c>
      <c r="D39" s="486">
        <f>IF(F38+SUM(E$17:E38)=D$10,F38,D$10-SUM(E$17:E38))</f>
        <v>2518404.2897239169</v>
      </c>
      <c r="E39" s="485">
        <f>IF(+I14&lt;F38,I14,D39)</f>
        <v>104197.68888888889</v>
      </c>
      <c r="F39" s="486">
        <f t="shared" si="13"/>
        <v>2414206.6008350281</v>
      </c>
      <c r="G39" s="487">
        <f t="shared" si="14"/>
        <v>430925.3293577634</v>
      </c>
      <c r="H39" s="456">
        <f t="shared" si="15"/>
        <v>430925.3293577634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2032</v>
      </c>
      <c r="D40" s="486">
        <f>IF(F39+SUM(E$17:E39)=D$10,F39,D$10-SUM(E$17:E39))</f>
        <v>2414206.6008350281</v>
      </c>
      <c r="E40" s="485">
        <f>IF(+I14&lt;F39,I14,D40)</f>
        <v>104197.68888888889</v>
      </c>
      <c r="F40" s="486">
        <f t="shared" si="13"/>
        <v>2310008.9119461393</v>
      </c>
      <c r="G40" s="487">
        <f t="shared" si="14"/>
        <v>416823.69239711505</v>
      </c>
      <c r="H40" s="456">
        <f t="shared" si="15"/>
        <v>416823.69239711505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2033</v>
      </c>
      <c r="D41" s="486">
        <f>IF(F40+SUM(E$17:E40)=D$10,F40,D$10-SUM(E$17:E40))</f>
        <v>2310008.9119461393</v>
      </c>
      <c r="E41" s="485">
        <f>IF(+I14&lt;F40,I14,D41)</f>
        <v>104197.68888888889</v>
      </c>
      <c r="F41" s="486">
        <f t="shared" si="13"/>
        <v>2205811.2230572505</v>
      </c>
      <c r="G41" s="487">
        <f t="shared" si="14"/>
        <v>402722.0554364667</v>
      </c>
      <c r="H41" s="456">
        <f t="shared" si="15"/>
        <v>402722.0554364667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2034</v>
      </c>
      <c r="D42" s="486">
        <f>IF(F41+SUM(E$17:E41)=D$10,F41,D$10-SUM(E$17:E41))</f>
        <v>2205811.2230572505</v>
      </c>
      <c r="E42" s="485">
        <f>IF(+I14&lt;F41,I14,D42)</f>
        <v>104197.68888888889</v>
      </c>
      <c r="F42" s="486">
        <f t="shared" si="13"/>
        <v>2101613.5341683617</v>
      </c>
      <c r="G42" s="487">
        <f t="shared" si="14"/>
        <v>388620.41847581835</v>
      </c>
      <c r="H42" s="456">
        <f t="shared" si="15"/>
        <v>388620.41847581835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2035</v>
      </c>
      <c r="D43" s="486">
        <f>IF(F42+SUM(E$17:E42)=D$10,F42,D$10-SUM(E$17:E42))</f>
        <v>2101613.5341683617</v>
      </c>
      <c r="E43" s="485">
        <f>IF(+I14&lt;F42,I14,D43)</f>
        <v>104197.68888888889</v>
      </c>
      <c r="F43" s="486">
        <f t="shared" si="13"/>
        <v>1997415.8452794729</v>
      </c>
      <c r="G43" s="487">
        <f t="shared" si="14"/>
        <v>374518.78151516989</v>
      </c>
      <c r="H43" s="456">
        <f t="shared" si="15"/>
        <v>374518.78151516989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2036</v>
      </c>
      <c r="D44" s="486">
        <f>IF(F43+SUM(E$17:E43)=D$10,F43,D$10-SUM(E$17:E43))</f>
        <v>1997415.8452794729</v>
      </c>
      <c r="E44" s="485">
        <f>IF(+I14&lt;F43,I14,D44)</f>
        <v>104197.68888888889</v>
      </c>
      <c r="F44" s="486">
        <f t="shared" si="13"/>
        <v>1893218.1563905841</v>
      </c>
      <c r="G44" s="487">
        <f t="shared" si="14"/>
        <v>360417.14455452154</v>
      </c>
      <c r="H44" s="456">
        <f t="shared" si="15"/>
        <v>360417.14455452154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2037</v>
      </c>
      <c r="D45" s="486">
        <f>IF(F44+SUM(E$17:E44)=D$10,F44,D$10-SUM(E$17:E44))</f>
        <v>1893218.1563905841</v>
      </c>
      <c r="E45" s="485">
        <f>IF(+I14&lt;F44,I14,D45)</f>
        <v>104197.68888888889</v>
      </c>
      <c r="F45" s="486">
        <f t="shared" si="13"/>
        <v>1789020.4675016953</v>
      </c>
      <c r="G45" s="487">
        <f t="shared" si="14"/>
        <v>346315.50759387319</v>
      </c>
      <c r="H45" s="456">
        <f t="shared" si="15"/>
        <v>346315.50759387319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2038</v>
      </c>
      <c r="D46" s="486">
        <f>IF(F45+SUM(E$17:E45)=D$10,F45,D$10-SUM(E$17:E45))</f>
        <v>1789020.4675016953</v>
      </c>
      <c r="E46" s="485">
        <f>IF(+I14&lt;F45,I14,D46)</f>
        <v>104197.68888888889</v>
      </c>
      <c r="F46" s="486">
        <f t="shared" si="13"/>
        <v>1684822.7786128065</v>
      </c>
      <c r="G46" s="487">
        <f t="shared" si="14"/>
        <v>332213.87063322484</v>
      </c>
      <c r="H46" s="456">
        <f t="shared" si="15"/>
        <v>332213.87063322484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2039</v>
      </c>
      <c r="D47" s="486">
        <f>IF(F46+SUM(E$17:E46)=D$10,F46,D$10-SUM(E$17:E46))</f>
        <v>1684822.7786128065</v>
      </c>
      <c r="E47" s="485">
        <f>IF(+I14&lt;F46,I14,D47)</f>
        <v>104197.68888888889</v>
      </c>
      <c r="F47" s="486">
        <f t="shared" si="13"/>
        <v>1580625.0897239177</v>
      </c>
      <c r="G47" s="487">
        <f t="shared" si="14"/>
        <v>318112.23367257643</v>
      </c>
      <c r="H47" s="456">
        <f t="shared" si="15"/>
        <v>318112.23367257643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2040</v>
      </c>
      <c r="D48" s="486">
        <f>IF(F47+SUM(E$17:E47)=D$10,F47,D$10-SUM(E$17:E47))</f>
        <v>1580625.0897239177</v>
      </c>
      <c r="E48" s="485">
        <f>IF(+I14&lt;F47,I14,D48)</f>
        <v>104197.68888888889</v>
      </c>
      <c r="F48" s="486">
        <f t="shared" si="13"/>
        <v>1476427.4008350288</v>
      </c>
      <c r="G48" s="487">
        <f t="shared" si="14"/>
        <v>304010.59671192802</v>
      </c>
      <c r="H48" s="456">
        <f t="shared" si="15"/>
        <v>304010.59671192802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2041</v>
      </c>
      <c r="D49" s="486">
        <f>IF(F48+SUM(E$17:E48)=D$10,F48,D$10-SUM(E$17:E48))</f>
        <v>1476427.4008350288</v>
      </c>
      <c r="E49" s="485">
        <f>IF(+I14&lt;F48,I14,D49)</f>
        <v>104197.68888888889</v>
      </c>
      <c r="F49" s="486">
        <f t="shared" ref="F49:F72" si="16">+D49-E49</f>
        <v>1372229.71194614</v>
      </c>
      <c r="G49" s="487">
        <f t="shared" si="14"/>
        <v>289908.95975127968</v>
      </c>
      <c r="H49" s="456">
        <f t="shared" si="15"/>
        <v>289908.95975127968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2042</v>
      </c>
      <c r="D50" s="486">
        <f>IF(F49+SUM(E$17:E49)=D$10,F49,D$10-SUM(E$17:E49))</f>
        <v>1372229.71194614</v>
      </c>
      <c r="E50" s="485">
        <f>IF(+I14&lt;F49,I14,D50)</f>
        <v>104197.68888888889</v>
      </c>
      <c r="F50" s="486">
        <f t="shared" si="16"/>
        <v>1268032.0230572512</v>
      </c>
      <c r="G50" s="487">
        <f t="shared" si="14"/>
        <v>275807.32279063133</v>
      </c>
      <c r="H50" s="456">
        <f t="shared" si="15"/>
        <v>275807.32279063133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2043</v>
      </c>
      <c r="D51" s="486">
        <f>IF(F50+SUM(E$17:E50)=D$10,F50,D$10-SUM(E$17:E50))</f>
        <v>1268032.0230572512</v>
      </c>
      <c r="E51" s="485">
        <f>IF(+I14&lt;F50,I14,D51)</f>
        <v>104197.68888888889</v>
      </c>
      <c r="F51" s="486">
        <f t="shared" si="16"/>
        <v>1163834.3341683624</v>
      </c>
      <c r="G51" s="487">
        <f t="shared" si="14"/>
        <v>261705.68582998295</v>
      </c>
      <c r="H51" s="456">
        <f t="shared" si="15"/>
        <v>261705.68582998295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2044</v>
      </c>
      <c r="D52" s="486">
        <f>IF(F51+SUM(E$17:E51)=D$10,F51,D$10-SUM(E$17:E51))</f>
        <v>1163834.3341683624</v>
      </c>
      <c r="E52" s="485">
        <f>IF(+I14&lt;F51,I14,D52)</f>
        <v>104197.68888888889</v>
      </c>
      <c r="F52" s="486">
        <f t="shared" si="16"/>
        <v>1059636.6452794736</v>
      </c>
      <c r="G52" s="487">
        <f t="shared" si="14"/>
        <v>247604.04886933457</v>
      </c>
      <c r="H52" s="456">
        <f t="shared" si="15"/>
        <v>247604.04886933457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2045</v>
      </c>
      <c r="D53" s="486">
        <f>IF(F52+SUM(E$17:E52)=D$10,F52,D$10-SUM(E$17:E52))</f>
        <v>1059636.6452794736</v>
      </c>
      <c r="E53" s="485">
        <f>IF(+I14&lt;F52,I14,D53)</f>
        <v>104197.68888888889</v>
      </c>
      <c r="F53" s="486">
        <f t="shared" si="16"/>
        <v>955438.9563905847</v>
      </c>
      <c r="G53" s="487">
        <f t="shared" si="14"/>
        <v>233502.41190868619</v>
      </c>
      <c r="H53" s="456">
        <f t="shared" si="15"/>
        <v>233502.41190868619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2046</v>
      </c>
      <c r="D54" s="486">
        <f>IF(F53+SUM(E$17:E53)=D$10,F53,D$10-SUM(E$17:E53))</f>
        <v>955438.9563905847</v>
      </c>
      <c r="E54" s="485">
        <f>IF(+I14&lt;F53,I14,D54)</f>
        <v>104197.68888888889</v>
      </c>
      <c r="F54" s="486">
        <f t="shared" si="16"/>
        <v>851241.26750169578</v>
      </c>
      <c r="G54" s="487">
        <f t="shared" si="14"/>
        <v>219400.77494803781</v>
      </c>
      <c r="H54" s="456">
        <f t="shared" si="15"/>
        <v>219400.77494803781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2047</v>
      </c>
      <c r="D55" s="486">
        <f>IF(F54+SUM(E$17:E54)=D$10,F54,D$10-SUM(E$17:E54))</f>
        <v>851241.26750169578</v>
      </c>
      <c r="E55" s="485">
        <f>IF(+I14&lt;F54,I14,D55)</f>
        <v>104197.68888888889</v>
      </c>
      <c r="F55" s="486">
        <f t="shared" si="16"/>
        <v>747043.57861280686</v>
      </c>
      <c r="G55" s="487">
        <f t="shared" si="14"/>
        <v>205299.1379873894</v>
      </c>
      <c r="H55" s="456">
        <f t="shared" si="15"/>
        <v>205299.1379873894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2048</v>
      </c>
      <c r="D56" s="486">
        <f>IF(F55+SUM(E$17:E55)=D$10,F55,D$10-SUM(E$17:E55))</f>
        <v>747043.57861280686</v>
      </c>
      <c r="E56" s="485">
        <f>IF(+I14&lt;F55,I14,D56)</f>
        <v>104197.68888888889</v>
      </c>
      <c r="F56" s="486">
        <f t="shared" si="16"/>
        <v>642845.88972391794</v>
      </c>
      <c r="G56" s="487">
        <f t="shared" si="14"/>
        <v>191197.50102674103</v>
      </c>
      <c r="H56" s="456">
        <f t="shared" si="15"/>
        <v>191197.50102674103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2049</v>
      </c>
      <c r="D57" s="486">
        <f>IF(F56+SUM(E$17:E56)=D$10,F56,D$10-SUM(E$17:E56))</f>
        <v>642845.88972391794</v>
      </c>
      <c r="E57" s="485">
        <f>IF(+I14&lt;F56,I14,D57)</f>
        <v>104197.68888888889</v>
      </c>
      <c r="F57" s="486">
        <f t="shared" si="16"/>
        <v>538648.20083502901</v>
      </c>
      <c r="G57" s="487">
        <f t="shared" si="14"/>
        <v>177095.86406609265</v>
      </c>
      <c r="H57" s="456">
        <f t="shared" si="15"/>
        <v>177095.86406609265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2050</v>
      </c>
      <c r="D58" s="486">
        <f>IF(F57+SUM(E$17:E57)=D$10,F57,D$10-SUM(E$17:E57))</f>
        <v>538648.20083502901</v>
      </c>
      <c r="E58" s="485">
        <f>IF(+I14&lt;F57,I14,D58)</f>
        <v>104197.68888888889</v>
      </c>
      <c r="F58" s="486">
        <f t="shared" si="16"/>
        <v>434450.51194614009</v>
      </c>
      <c r="G58" s="487">
        <f t="shared" si="14"/>
        <v>162994.22710544424</v>
      </c>
      <c r="H58" s="456">
        <f t="shared" si="15"/>
        <v>162994.22710544424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2051</v>
      </c>
      <c r="D59" s="486">
        <f>IF(F58+SUM(E$17:E58)=D$10,F58,D$10-SUM(E$17:E58))</f>
        <v>434450.51194614009</v>
      </c>
      <c r="E59" s="485">
        <f>IF(+I14&lt;F58,I14,D59)</f>
        <v>104197.68888888889</v>
      </c>
      <c r="F59" s="486">
        <f t="shared" si="16"/>
        <v>330252.82305725117</v>
      </c>
      <c r="G59" s="487">
        <f t="shared" si="14"/>
        <v>148892.59014479586</v>
      </c>
      <c r="H59" s="456">
        <f t="shared" si="15"/>
        <v>148892.59014479586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2052</v>
      </c>
      <c r="D60" s="486">
        <f>IF(F59+SUM(E$17:E59)=D$10,F59,D$10-SUM(E$17:E59))</f>
        <v>330252.82305725117</v>
      </c>
      <c r="E60" s="485">
        <f>IF(+I14&lt;F59,I14,D60)</f>
        <v>104197.68888888889</v>
      </c>
      <c r="F60" s="486">
        <f t="shared" si="16"/>
        <v>226055.13416836227</v>
      </c>
      <c r="G60" s="487">
        <f t="shared" si="14"/>
        <v>134790.95318414748</v>
      </c>
      <c r="H60" s="456">
        <f t="shared" si="15"/>
        <v>134790.95318414748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2053</v>
      </c>
      <c r="D61" s="486">
        <f>IF(F60+SUM(E$17:E60)=D$10,F60,D$10-SUM(E$17:E60))</f>
        <v>226055.13416836227</v>
      </c>
      <c r="E61" s="485">
        <f>IF(+I14&lt;F60,I14,D61)</f>
        <v>104197.68888888889</v>
      </c>
      <c r="F61" s="486">
        <f t="shared" si="16"/>
        <v>121857.44527947338</v>
      </c>
      <c r="G61" s="489">
        <f t="shared" si="14"/>
        <v>120689.3162234991</v>
      </c>
      <c r="H61" s="456">
        <f t="shared" si="15"/>
        <v>120689.3162234991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2054</v>
      </c>
      <c r="D62" s="486">
        <f>IF(F61+SUM(E$17:E61)=D$10,F61,D$10-SUM(E$17:E61))</f>
        <v>121857.44527947338</v>
      </c>
      <c r="E62" s="485">
        <f>IF(+I14&lt;F61,I14,D62)</f>
        <v>104197.68888888889</v>
      </c>
      <c r="F62" s="486">
        <f t="shared" si="16"/>
        <v>17659.756390584487</v>
      </c>
      <c r="G62" s="489">
        <f t="shared" si="14"/>
        <v>106587.67926285071</v>
      </c>
      <c r="H62" s="456">
        <f t="shared" si="15"/>
        <v>106587.67926285071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2055</v>
      </c>
      <c r="D63" s="486">
        <f>IF(F62+SUM(E$17:E62)=D$10,F62,D$10-SUM(E$17:E62))</f>
        <v>17659.756390584487</v>
      </c>
      <c r="E63" s="485">
        <f>IF(+I14&lt;F62,I14,D63)</f>
        <v>17659.756390584487</v>
      </c>
      <c r="F63" s="486">
        <f t="shared" si="16"/>
        <v>0</v>
      </c>
      <c r="G63" s="489">
        <f t="shared" si="14"/>
        <v>17659.756390584487</v>
      </c>
      <c r="H63" s="456">
        <f t="shared" si="15"/>
        <v>17659.756390584487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2056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9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6"/>
        <v/>
      </c>
      <c r="C65" s="473">
        <f>IF(D11="","-",+C64+1)</f>
        <v>2057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6"/>
        <v/>
      </c>
      <c r="C66" s="473">
        <f>IF(D11="","-",+C65+1)</f>
        <v>2058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6"/>
        <v/>
      </c>
      <c r="C67" s="473">
        <f>IF(D11="","-",+C66+1)</f>
        <v>2059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6"/>
        <v/>
      </c>
      <c r="C68" s="473">
        <f>IF(D11="","-",+C67+1)</f>
        <v>2060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6"/>
        <v/>
      </c>
      <c r="C69" s="473">
        <f>IF(D11="","-",+C68+1)</f>
        <v>2061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6"/>
        <v/>
      </c>
      <c r="C70" s="473">
        <f>IF(D11="","-",+C69+1)</f>
        <v>2062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6"/>
        <v/>
      </c>
      <c r="C71" s="473">
        <f>IF(D11="","-",+C70+1)</f>
        <v>2063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2064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14"/>
        <v>0</v>
      </c>
      <c r="H72" s="436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4688895.9999999991</v>
      </c>
      <c r="F73" s="348"/>
      <c r="G73" s="348">
        <f>SUM(G17:G72)</f>
        <v>19436125.726781424</v>
      </c>
      <c r="H73" s="348">
        <f>SUM(H17:H72)</f>
        <v>19436125.726781424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2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532941.26061774243</v>
      </c>
      <c r="N87" s="509">
        <f>IF(J92&lt;D11,0,VLOOKUP(J92,C17:O72,11))</f>
        <v>532941.26061774243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498647.07790793071</v>
      </c>
      <c r="N88" s="513">
        <f>IF(J92&lt;D11,0,VLOOKUP(J92,C99:P154,7))</f>
        <v>498647.07790793071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Craig Jct. to Broken Bow Dam 138 Rebuild (7.7mi)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-34294.182709811721</v>
      </c>
      <c r="N89" s="518">
        <f>+N88-N87</f>
        <v>-34294.182709811721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TP2007059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4688896.139999995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5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114363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2009</v>
      </c>
      <c r="D99" s="474">
        <v>0</v>
      </c>
      <c r="E99" s="481">
        <v>49223</v>
      </c>
      <c r="F99" s="480">
        <v>4676168</v>
      </c>
      <c r="G99" s="538">
        <v>2338084</v>
      </c>
      <c r="H99" s="539">
        <v>391070</v>
      </c>
      <c r="I99" s="540">
        <v>391070</v>
      </c>
      <c r="J99" s="479">
        <f t="shared" ref="J99:J130" si="21">+I99-H99</f>
        <v>0</v>
      </c>
      <c r="K99" s="479"/>
      <c r="L99" s="477">
        <f t="shared" ref="L99:L104" si="22">H99</f>
        <v>391070</v>
      </c>
      <c r="M99" s="478">
        <f t="shared" ref="M99:M130" si="23">IF(L99&lt;&gt;0,+H99-L99,0)</f>
        <v>0</v>
      </c>
      <c r="N99" s="477">
        <f t="shared" ref="N99:N104" si="24">I99</f>
        <v>391070</v>
      </c>
      <c r="O99" s="478">
        <f t="shared" ref="O99:O130" si="25">IF(N99&lt;&gt;0,+I99-N99,0)</f>
        <v>0</v>
      </c>
      <c r="P99" s="478">
        <f t="shared" ref="P99:P130" si="26">+O99-M99</f>
        <v>0</v>
      </c>
    </row>
    <row r="100" spans="1:16" ht="12.5">
      <c r="B100" s="160" t="str">
        <f>IF(D100=F99,"","IU")</f>
        <v>IU</v>
      </c>
      <c r="C100" s="473">
        <f>IF(D93="","-",+C99+1)</f>
        <v>2010</v>
      </c>
      <c r="D100" s="474">
        <v>4639673.1399999997</v>
      </c>
      <c r="E100" s="481">
        <v>91939</v>
      </c>
      <c r="F100" s="480">
        <v>4547734.1399999997</v>
      </c>
      <c r="G100" s="480">
        <v>4593703.6399999997</v>
      </c>
      <c r="H100" s="481">
        <v>830676.46951907186</v>
      </c>
      <c r="I100" s="482">
        <v>830676.46951907186</v>
      </c>
      <c r="J100" s="479">
        <f t="shared" si="21"/>
        <v>0</v>
      </c>
      <c r="K100" s="479"/>
      <c r="L100" s="541">
        <f t="shared" si="22"/>
        <v>830676.46951907186</v>
      </c>
      <c r="M100" s="542">
        <f t="shared" si="23"/>
        <v>0</v>
      </c>
      <c r="N100" s="541">
        <f t="shared" si="24"/>
        <v>830676.46951907186</v>
      </c>
      <c r="O100" s="479">
        <f t="shared" si="25"/>
        <v>0</v>
      </c>
      <c r="P100" s="479">
        <f t="shared" si="26"/>
        <v>0</v>
      </c>
    </row>
    <row r="101" spans="1:16" ht="12.5">
      <c r="B101" s="160" t="str">
        <f t="shared" ref="B101:B154" si="27">IF(D101=F100,"","IU")</f>
        <v/>
      </c>
      <c r="C101" s="483">
        <f>IF(D93="","-",+C100+1)</f>
        <v>2011</v>
      </c>
      <c r="D101" s="474">
        <v>4547734.1399999997</v>
      </c>
      <c r="E101" s="481">
        <v>90171</v>
      </c>
      <c r="F101" s="480">
        <v>4457563.1399999997</v>
      </c>
      <c r="G101" s="480">
        <v>4502648.6399999997</v>
      </c>
      <c r="H101" s="481">
        <v>719701.78616364778</v>
      </c>
      <c r="I101" s="482">
        <v>719701.78616364778</v>
      </c>
      <c r="J101" s="479">
        <f t="shared" si="21"/>
        <v>0</v>
      </c>
      <c r="K101" s="479"/>
      <c r="L101" s="541">
        <f t="shared" si="22"/>
        <v>719701.78616364778</v>
      </c>
      <c r="M101" s="542">
        <f t="shared" si="23"/>
        <v>0</v>
      </c>
      <c r="N101" s="541">
        <f t="shared" si="24"/>
        <v>719701.78616364778</v>
      </c>
      <c r="O101" s="479">
        <f t="shared" si="25"/>
        <v>0</v>
      </c>
      <c r="P101" s="479">
        <f t="shared" si="26"/>
        <v>0</v>
      </c>
    </row>
    <row r="102" spans="1:16" ht="12.5">
      <c r="B102" s="160" t="str">
        <f t="shared" si="27"/>
        <v/>
      </c>
      <c r="C102" s="473">
        <f>IF(D93="","-",+C101+1)</f>
        <v>2012</v>
      </c>
      <c r="D102" s="474">
        <v>4457563.1399999997</v>
      </c>
      <c r="E102" s="481">
        <v>90171</v>
      </c>
      <c r="F102" s="480">
        <v>4367392.1399999997</v>
      </c>
      <c r="G102" s="480">
        <v>4412477.6399999997</v>
      </c>
      <c r="H102" s="481">
        <v>724930.09682284109</v>
      </c>
      <c r="I102" s="482">
        <v>724930.09682284109</v>
      </c>
      <c r="J102" s="479">
        <v>0</v>
      </c>
      <c r="K102" s="479"/>
      <c r="L102" s="541">
        <f t="shared" si="22"/>
        <v>724930.09682284109</v>
      </c>
      <c r="M102" s="542">
        <f t="shared" ref="M102:M107" si="28">IF(L102&lt;&gt;0,+H102-L102,0)</f>
        <v>0</v>
      </c>
      <c r="N102" s="541">
        <f t="shared" si="24"/>
        <v>724930.09682284109</v>
      </c>
      <c r="O102" s="479">
        <f>IF(N102&lt;&gt;0,+I102-N102,0)</f>
        <v>0</v>
      </c>
      <c r="P102" s="479">
        <f>+O102-M102</f>
        <v>0</v>
      </c>
    </row>
    <row r="103" spans="1:16" ht="12.5">
      <c r="B103" s="160" t="str">
        <f t="shared" si="27"/>
        <v/>
      </c>
      <c r="C103" s="473">
        <f>IF(D93="","-",+C102+1)</f>
        <v>2013</v>
      </c>
      <c r="D103" s="474">
        <v>4367392.1399999997</v>
      </c>
      <c r="E103" s="481">
        <v>90171</v>
      </c>
      <c r="F103" s="480">
        <v>4277221.1399999997</v>
      </c>
      <c r="G103" s="480">
        <v>4322306.6399999997</v>
      </c>
      <c r="H103" s="481">
        <v>712322.06264393788</v>
      </c>
      <c r="I103" s="482">
        <v>712322.06264393788</v>
      </c>
      <c r="J103" s="479">
        <v>0</v>
      </c>
      <c r="K103" s="479"/>
      <c r="L103" s="541">
        <f t="shared" si="22"/>
        <v>712322.06264393788</v>
      </c>
      <c r="M103" s="542">
        <f t="shared" si="28"/>
        <v>0</v>
      </c>
      <c r="N103" s="541">
        <f t="shared" si="24"/>
        <v>712322.06264393788</v>
      </c>
      <c r="O103" s="479">
        <f>IF(N103&lt;&gt;0,+I103-N103,0)</f>
        <v>0</v>
      </c>
      <c r="P103" s="479">
        <f>+O103-M103</f>
        <v>0</v>
      </c>
    </row>
    <row r="104" spans="1:16" ht="12.5">
      <c r="B104" s="160" t="str">
        <f t="shared" si="27"/>
        <v/>
      </c>
      <c r="C104" s="473">
        <f>IF(D93="","-",+C103+1)</f>
        <v>2014</v>
      </c>
      <c r="D104" s="474">
        <v>4277221.1399999997</v>
      </c>
      <c r="E104" s="481">
        <v>90171</v>
      </c>
      <c r="F104" s="480">
        <v>4187050.1399999997</v>
      </c>
      <c r="G104" s="480">
        <v>4232135.6399999997</v>
      </c>
      <c r="H104" s="481">
        <v>685191.9710405051</v>
      </c>
      <c r="I104" s="482">
        <v>685191.9710405051</v>
      </c>
      <c r="J104" s="479">
        <v>0</v>
      </c>
      <c r="K104" s="479"/>
      <c r="L104" s="541">
        <f t="shared" si="22"/>
        <v>685191.9710405051</v>
      </c>
      <c r="M104" s="542">
        <f t="shared" si="28"/>
        <v>0</v>
      </c>
      <c r="N104" s="541">
        <f t="shared" si="24"/>
        <v>685191.9710405051</v>
      </c>
      <c r="O104" s="479">
        <f>IF(N104&lt;&gt;0,+I104-N104,0)</f>
        <v>0</v>
      </c>
      <c r="P104" s="479">
        <f>+O104-M104</f>
        <v>0</v>
      </c>
    </row>
    <row r="105" spans="1:16" ht="12.5">
      <c r="B105" s="160" t="str">
        <f t="shared" si="27"/>
        <v/>
      </c>
      <c r="C105" s="473">
        <f>IF(D93="","-",+C104+1)</f>
        <v>2015</v>
      </c>
      <c r="D105" s="474">
        <v>4187050.1399999997</v>
      </c>
      <c r="E105" s="481">
        <v>90171</v>
      </c>
      <c r="F105" s="480">
        <v>4096879.1399999997</v>
      </c>
      <c r="G105" s="480">
        <v>4141964.6399999997</v>
      </c>
      <c r="H105" s="481">
        <v>655308.7720911433</v>
      </c>
      <c r="I105" s="482">
        <v>655308.7720911433</v>
      </c>
      <c r="J105" s="479">
        <f t="shared" si="21"/>
        <v>0</v>
      </c>
      <c r="K105" s="479"/>
      <c r="L105" s="541">
        <f>H105</f>
        <v>655308.7720911433</v>
      </c>
      <c r="M105" s="542">
        <f t="shared" si="28"/>
        <v>0</v>
      </c>
      <c r="N105" s="541">
        <f>I105</f>
        <v>655308.7720911433</v>
      </c>
      <c r="O105" s="479">
        <f t="shared" si="25"/>
        <v>0</v>
      </c>
      <c r="P105" s="479">
        <f t="shared" si="26"/>
        <v>0</v>
      </c>
    </row>
    <row r="106" spans="1:16" ht="12.5">
      <c r="B106" s="160" t="str">
        <f t="shared" si="27"/>
        <v/>
      </c>
      <c r="C106" s="473">
        <f>IF(D93="","-",+C105+1)</f>
        <v>2016</v>
      </c>
      <c r="D106" s="474">
        <v>4096879.1399999997</v>
      </c>
      <c r="E106" s="481">
        <v>101933</v>
      </c>
      <c r="F106" s="480">
        <v>3994946.1399999997</v>
      </c>
      <c r="G106" s="480">
        <v>4045912.6399999997</v>
      </c>
      <c r="H106" s="481">
        <v>623514.8578657991</v>
      </c>
      <c r="I106" s="482">
        <v>623514.8578657991</v>
      </c>
      <c r="J106" s="479">
        <f t="shared" si="21"/>
        <v>0</v>
      </c>
      <c r="K106" s="479"/>
      <c r="L106" s="541">
        <f>H106</f>
        <v>623514.8578657991</v>
      </c>
      <c r="M106" s="542">
        <f t="shared" si="28"/>
        <v>0</v>
      </c>
      <c r="N106" s="541">
        <f>I106</f>
        <v>623514.8578657991</v>
      </c>
      <c r="O106" s="479">
        <f>IF(N106&lt;&gt;0,+I106-N106,0)</f>
        <v>0</v>
      </c>
      <c r="P106" s="479">
        <f>+O106-M106</f>
        <v>0</v>
      </c>
    </row>
    <row r="107" spans="1:16" ht="12.5">
      <c r="B107" s="160" t="str">
        <f t="shared" si="27"/>
        <v/>
      </c>
      <c r="C107" s="473">
        <f>IF(D93="","-",+C106+1)</f>
        <v>2017</v>
      </c>
      <c r="D107" s="474">
        <v>3994946.1399999997</v>
      </c>
      <c r="E107" s="481">
        <v>101933</v>
      </c>
      <c r="F107" s="480">
        <v>3893013.1399999997</v>
      </c>
      <c r="G107" s="480">
        <v>3943979.6399999997</v>
      </c>
      <c r="H107" s="481">
        <v>602236.76208219538</v>
      </c>
      <c r="I107" s="482">
        <v>602236.76208219538</v>
      </c>
      <c r="J107" s="479">
        <f t="shared" si="21"/>
        <v>0</v>
      </c>
      <c r="K107" s="479"/>
      <c r="L107" s="541">
        <f>H107</f>
        <v>602236.76208219538</v>
      </c>
      <c r="M107" s="542">
        <f t="shared" si="28"/>
        <v>0</v>
      </c>
      <c r="N107" s="541">
        <f>I107</f>
        <v>602236.76208219538</v>
      </c>
      <c r="O107" s="479">
        <f>IF(N107&lt;&gt;0,+I107-N107,0)</f>
        <v>0</v>
      </c>
      <c r="P107" s="479">
        <f>+O107-M107</f>
        <v>0</v>
      </c>
    </row>
    <row r="108" spans="1:16" ht="12.5">
      <c r="B108" s="160" t="str">
        <f t="shared" si="27"/>
        <v/>
      </c>
      <c r="C108" s="473">
        <f>IF(D93="","-",+C107+1)</f>
        <v>2018</v>
      </c>
      <c r="D108" s="474">
        <v>3893013.1399999997</v>
      </c>
      <c r="E108" s="481">
        <v>109044</v>
      </c>
      <c r="F108" s="480">
        <v>3783969.1399999997</v>
      </c>
      <c r="G108" s="480">
        <v>3838491.1399999997</v>
      </c>
      <c r="H108" s="481">
        <v>503393.56302800257</v>
      </c>
      <c r="I108" s="482">
        <v>503393.56302800257</v>
      </c>
      <c r="J108" s="479">
        <f t="shared" si="21"/>
        <v>0</v>
      </c>
      <c r="K108" s="479"/>
      <c r="L108" s="541">
        <f>H108</f>
        <v>503393.56302800257</v>
      </c>
      <c r="M108" s="542">
        <f t="shared" ref="M108" si="29">IF(L108&lt;&gt;0,+H108-L108,0)</f>
        <v>0</v>
      </c>
      <c r="N108" s="541">
        <f>I108</f>
        <v>503393.56302800257</v>
      </c>
      <c r="O108" s="479">
        <f>IF(N108&lt;&gt;0,+I108-N108,0)</f>
        <v>0</v>
      </c>
      <c r="P108" s="479">
        <f>+O108-M108</f>
        <v>0</v>
      </c>
    </row>
    <row r="109" spans="1:16" ht="12.5">
      <c r="B109" s="160" t="str">
        <f t="shared" si="27"/>
        <v/>
      </c>
      <c r="C109" s="473">
        <f>IF(D93="","-",+C108+1)</f>
        <v>2019</v>
      </c>
      <c r="D109" s="347">
        <f>IF(F108+SUM(E$99:E108)=D$92,F108,D$92-SUM(E$99:E108))</f>
        <v>3783969.1399999997</v>
      </c>
      <c r="E109" s="487">
        <f>IF(+J96&lt;F108,J96,D109)</f>
        <v>114363</v>
      </c>
      <c r="F109" s="486">
        <f t="shared" ref="F109:F130" si="30">+D109-E109</f>
        <v>3669606.1399999997</v>
      </c>
      <c r="G109" s="486">
        <f t="shared" ref="G109:G130" si="31">+(F109+D109)/2</f>
        <v>3726787.6399999997</v>
      </c>
      <c r="H109" s="489">
        <f t="shared" ref="H109:H154" si="32">+J$94*G109+E109</f>
        <v>498647.07790793071</v>
      </c>
      <c r="I109" s="543">
        <f t="shared" ref="I109:I154" si="33">+J$95*G109+E109</f>
        <v>498647.07790793071</v>
      </c>
      <c r="J109" s="479">
        <f t="shared" si="21"/>
        <v>0</v>
      </c>
      <c r="K109" s="479"/>
      <c r="L109" s="488"/>
      <c r="M109" s="479">
        <f t="shared" si="23"/>
        <v>0</v>
      </c>
      <c r="N109" s="488"/>
      <c r="O109" s="479">
        <f t="shared" si="25"/>
        <v>0</v>
      </c>
      <c r="P109" s="479">
        <f t="shared" si="26"/>
        <v>0</v>
      </c>
    </row>
    <row r="110" spans="1:16" ht="12.5">
      <c r="B110" s="160" t="str">
        <f t="shared" si="27"/>
        <v/>
      </c>
      <c r="C110" s="473">
        <f>IF(D93="","-",+C109+1)</f>
        <v>2020</v>
      </c>
      <c r="D110" s="347">
        <f>IF(F109+SUM(E$99:E109)=D$92,F109,D$92-SUM(E$99:E109))</f>
        <v>3669606.1399999997</v>
      </c>
      <c r="E110" s="487">
        <f>IF(+J96&lt;F109,J96,D110)</f>
        <v>114363</v>
      </c>
      <c r="F110" s="486">
        <f t="shared" si="30"/>
        <v>3555243.1399999997</v>
      </c>
      <c r="G110" s="486">
        <f t="shared" si="31"/>
        <v>3612424.6399999997</v>
      </c>
      <c r="H110" s="489">
        <f t="shared" si="32"/>
        <v>486854.64854327159</v>
      </c>
      <c r="I110" s="543">
        <f t="shared" si="33"/>
        <v>486854.64854327159</v>
      </c>
      <c r="J110" s="479">
        <f t="shared" si="21"/>
        <v>0</v>
      </c>
      <c r="K110" s="479"/>
      <c r="L110" s="488"/>
      <c r="M110" s="479">
        <f t="shared" si="23"/>
        <v>0</v>
      </c>
      <c r="N110" s="488"/>
      <c r="O110" s="479">
        <f t="shared" si="25"/>
        <v>0</v>
      </c>
      <c r="P110" s="479">
        <f t="shared" si="26"/>
        <v>0</v>
      </c>
    </row>
    <row r="111" spans="1:16" ht="12.5">
      <c r="B111" s="160" t="str">
        <f t="shared" si="27"/>
        <v/>
      </c>
      <c r="C111" s="473">
        <f>IF(D93="","-",+C110+1)</f>
        <v>2021</v>
      </c>
      <c r="D111" s="347">
        <f>IF(F110+SUM(E$99:E110)=D$92,F110,D$92-SUM(E$99:E110))</f>
        <v>3555243.1399999997</v>
      </c>
      <c r="E111" s="487">
        <f>IF(+J96&lt;F110,J96,D111)</f>
        <v>114363</v>
      </c>
      <c r="F111" s="486">
        <f t="shared" si="30"/>
        <v>3440880.1399999997</v>
      </c>
      <c r="G111" s="486">
        <f t="shared" si="31"/>
        <v>3498061.6399999997</v>
      </c>
      <c r="H111" s="489">
        <f t="shared" si="32"/>
        <v>475062.21917861246</v>
      </c>
      <c r="I111" s="543">
        <f t="shared" si="33"/>
        <v>475062.21917861246</v>
      </c>
      <c r="J111" s="479">
        <f t="shared" si="21"/>
        <v>0</v>
      </c>
      <c r="K111" s="479"/>
      <c r="L111" s="488"/>
      <c r="M111" s="479">
        <f t="shared" si="23"/>
        <v>0</v>
      </c>
      <c r="N111" s="488"/>
      <c r="O111" s="479">
        <f t="shared" si="25"/>
        <v>0</v>
      </c>
      <c r="P111" s="479">
        <f t="shared" si="26"/>
        <v>0</v>
      </c>
    </row>
    <row r="112" spans="1:16" ht="12.5">
      <c r="B112" s="160" t="str">
        <f t="shared" si="27"/>
        <v/>
      </c>
      <c r="C112" s="473">
        <f>IF(D93="","-",+C111+1)</f>
        <v>2022</v>
      </c>
      <c r="D112" s="347">
        <f>IF(F111+SUM(E$99:E111)=D$92,F111,D$92-SUM(E$99:E111))</f>
        <v>3440880.1399999997</v>
      </c>
      <c r="E112" s="487">
        <f>IF(+J96&lt;F111,J96,D112)</f>
        <v>114363</v>
      </c>
      <c r="F112" s="486">
        <f t="shared" si="30"/>
        <v>3326517.1399999997</v>
      </c>
      <c r="G112" s="486">
        <f t="shared" si="31"/>
        <v>3383698.6399999997</v>
      </c>
      <c r="H112" s="489">
        <f t="shared" si="32"/>
        <v>463269.78981395334</v>
      </c>
      <c r="I112" s="543">
        <f t="shared" si="33"/>
        <v>463269.78981395334</v>
      </c>
      <c r="J112" s="479">
        <f t="shared" si="21"/>
        <v>0</v>
      </c>
      <c r="K112" s="479"/>
      <c r="L112" s="488"/>
      <c r="M112" s="479">
        <f t="shared" si="23"/>
        <v>0</v>
      </c>
      <c r="N112" s="488"/>
      <c r="O112" s="479">
        <f t="shared" si="25"/>
        <v>0</v>
      </c>
      <c r="P112" s="479">
        <f t="shared" si="26"/>
        <v>0</v>
      </c>
    </row>
    <row r="113" spans="2:16" ht="12.5">
      <c r="B113" s="160" t="str">
        <f t="shared" si="27"/>
        <v/>
      </c>
      <c r="C113" s="473">
        <f>IF(D93="","-",+C112+1)</f>
        <v>2023</v>
      </c>
      <c r="D113" s="347">
        <f>IF(F112+SUM(E$99:E112)=D$92,F112,D$92-SUM(E$99:E112))</f>
        <v>3326517.1399999997</v>
      </c>
      <c r="E113" s="487">
        <f>IF(+J96&lt;F112,J96,D113)</f>
        <v>114363</v>
      </c>
      <c r="F113" s="486">
        <f t="shared" si="30"/>
        <v>3212154.1399999997</v>
      </c>
      <c r="G113" s="486">
        <f t="shared" si="31"/>
        <v>3269335.6399999997</v>
      </c>
      <c r="H113" s="489">
        <f t="shared" si="32"/>
        <v>451477.36044929421</v>
      </c>
      <c r="I113" s="543">
        <f t="shared" si="33"/>
        <v>451477.36044929421</v>
      </c>
      <c r="J113" s="479">
        <f t="shared" si="21"/>
        <v>0</v>
      </c>
      <c r="K113" s="479"/>
      <c r="L113" s="488"/>
      <c r="M113" s="479">
        <f t="shared" si="23"/>
        <v>0</v>
      </c>
      <c r="N113" s="488"/>
      <c r="O113" s="479">
        <f t="shared" si="25"/>
        <v>0</v>
      </c>
      <c r="P113" s="479">
        <f t="shared" si="26"/>
        <v>0</v>
      </c>
    </row>
    <row r="114" spans="2:16" ht="12.5">
      <c r="B114" s="160" t="str">
        <f t="shared" si="27"/>
        <v/>
      </c>
      <c r="C114" s="473">
        <f>IF(D93="","-",+C113+1)</f>
        <v>2024</v>
      </c>
      <c r="D114" s="347">
        <f>IF(F113+SUM(E$99:E113)=D$92,F113,D$92-SUM(E$99:E113))</f>
        <v>3212154.1399999997</v>
      </c>
      <c r="E114" s="487">
        <f>IF(+J96&lt;F113,J96,D114)</f>
        <v>114363</v>
      </c>
      <c r="F114" s="486">
        <f t="shared" si="30"/>
        <v>3097791.1399999997</v>
      </c>
      <c r="G114" s="486">
        <f t="shared" si="31"/>
        <v>3154972.6399999997</v>
      </c>
      <c r="H114" s="489">
        <f t="shared" si="32"/>
        <v>439684.93108463509</v>
      </c>
      <c r="I114" s="543">
        <f t="shared" si="33"/>
        <v>439684.93108463509</v>
      </c>
      <c r="J114" s="479">
        <f t="shared" si="21"/>
        <v>0</v>
      </c>
      <c r="K114" s="479"/>
      <c r="L114" s="488"/>
      <c r="M114" s="479">
        <f t="shared" si="23"/>
        <v>0</v>
      </c>
      <c r="N114" s="488"/>
      <c r="O114" s="479">
        <f t="shared" si="25"/>
        <v>0</v>
      </c>
      <c r="P114" s="479">
        <f t="shared" si="26"/>
        <v>0</v>
      </c>
    </row>
    <row r="115" spans="2:16" ht="12.5">
      <c r="B115" s="160" t="str">
        <f t="shared" si="27"/>
        <v/>
      </c>
      <c r="C115" s="473">
        <f>IF(D93="","-",+C114+1)</f>
        <v>2025</v>
      </c>
      <c r="D115" s="347">
        <f>IF(F114+SUM(E$99:E114)=D$92,F114,D$92-SUM(E$99:E114))</f>
        <v>3097791.1399999997</v>
      </c>
      <c r="E115" s="487">
        <f>IF(+J96&lt;F114,J96,D115)</f>
        <v>114363</v>
      </c>
      <c r="F115" s="486">
        <f t="shared" si="30"/>
        <v>2983428.1399999997</v>
      </c>
      <c r="G115" s="486">
        <f t="shared" si="31"/>
        <v>3040609.6399999997</v>
      </c>
      <c r="H115" s="489">
        <f t="shared" si="32"/>
        <v>427892.50171997596</v>
      </c>
      <c r="I115" s="543">
        <f t="shared" si="33"/>
        <v>427892.50171997596</v>
      </c>
      <c r="J115" s="479">
        <f t="shared" si="21"/>
        <v>0</v>
      </c>
      <c r="K115" s="479"/>
      <c r="L115" s="488"/>
      <c r="M115" s="479">
        <f t="shared" si="23"/>
        <v>0</v>
      </c>
      <c r="N115" s="488"/>
      <c r="O115" s="479">
        <f t="shared" si="25"/>
        <v>0</v>
      </c>
      <c r="P115" s="479">
        <f t="shared" si="26"/>
        <v>0</v>
      </c>
    </row>
    <row r="116" spans="2:16" ht="12.5">
      <c r="B116" s="160" t="str">
        <f t="shared" si="27"/>
        <v/>
      </c>
      <c r="C116" s="473">
        <f>IF(D93="","-",+C115+1)</f>
        <v>2026</v>
      </c>
      <c r="D116" s="347">
        <f>IF(F115+SUM(E$99:E115)=D$92,F115,D$92-SUM(E$99:E115))</f>
        <v>2983428.1399999997</v>
      </c>
      <c r="E116" s="487">
        <f>IF(+J96&lt;F115,J96,D116)</f>
        <v>114363</v>
      </c>
      <c r="F116" s="486">
        <f t="shared" si="30"/>
        <v>2869065.1399999997</v>
      </c>
      <c r="G116" s="486">
        <f t="shared" si="31"/>
        <v>2926246.6399999997</v>
      </c>
      <c r="H116" s="489">
        <f t="shared" si="32"/>
        <v>416100.07235531684</v>
      </c>
      <c r="I116" s="543">
        <f t="shared" si="33"/>
        <v>416100.07235531684</v>
      </c>
      <c r="J116" s="479">
        <f t="shared" si="21"/>
        <v>0</v>
      </c>
      <c r="K116" s="479"/>
      <c r="L116" s="488"/>
      <c r="M116" s="479">
        <f t="shared" si="23"/>
        <v>0</v>
      </c>
      <c r="N116" s="488"/>
      <c r="O116" s="479">
        <f t="shared" si="25"/>
        <v>0</v>
      </c>
      <c r="P116" s="479">
        <f t="shared" si="26"/>
        <v>0</v>
      </c>
    </row>
    <row r="117" spans="2:16" ht="12.5">
      <c r="B117" s="160" t="str">
        <f t="shared" si="27"/>
        <v/>
      </c>
      <c r="C117" s="473">
        <f>IF(D93="","-",+C116+1)</f>
        <v>2027</v>
      </c>
      <c r="D117" s="347">
        <f>IF(F116+SUM(E$99:E116)=D$92,F116,D$92-SUM(E$99:E116))</f>
        <v>2869065.1399999997</v>
      </c>
      <c r="E117" s="487">
        <f>IF(+J96&lt;F116,J96,D117)</f>
        <v>114363</v>
      </c>
      <c r="F117" s="486">
        <f t="shared" si="30"/>
        <v>2754702.1399999997</v>
      </c>
      <c r="G117" s="486">
        <f t="shared" si="31"/>
        <v>2811883.6399999997</v>
      </c>
      <c r="H117" s="489">
        <f t="shared" si="32"/>
        <v>404307.64299065771</v>
      </c>
      <c r="I117" s="543">
        <f t="shared" si="33"/>
        <v>404307.64299065771</v>
      </c>
      <c r="J117" s="479">
        <f t="shared" si="21"/>
        <v>0</v>
      </c>
      <c r="K117" s="479"/>
      <c r="L117" s="488"/>
      <c r="M117" s="479">
        <f t="shared" si="23"/>
        <v>0</v>
      </c>
      <c r="N117" s="488"/>
      <c r="O117" s="479">
        <f t="shared" si="25"/>
        <v>0</v>
      </c>
      <c r="P117" s="479">
        <f t="shared" si="26"/>
        <v>0</v>
      </c>
    </row>
    <row r="118" spans="2:16" ht="12.5">
      <c r="B118" s="160" t="str">
        <f t="shared" si="27"/>
        <v/>
      </c>
      <c r="C118" s="473">
        <f>IF(D93="","-",+C117+1)</f>
        <v>2028</v>
      </c>
      <c r="D118" s="347">
        <f>IF(F117+SUM(E$99:E117)=D$92,F117,D$92-SUM(E$99:E117))</f>
        <v>2754702.1399999997</v>
      </c>
      <c r="E118" s="487">
        <f>IF(+J96&lt;F117,J96,D118)</f>
        <v>114363</v>
      </c>
      <c r="F118" s="486">
        <f t="shared" si="30"/>
        <v>2640339.1399999997</v>
      </c>
      <c r="G118" s="486">
        <f t="shared" si="31"/>
        <v>2697520.6399999997</v>
      </c>
      <c r="H118" s="489">
        <f t="shared" si="32"/>
        <v>392515.21362599853</v>
      </c>
      <c r="I118" s="543">
        <f t="shared" si="33"/>
        <v>392515.21362599853</v>
      </c>
      <c r="J118" s="479">
        <f t="shared" si="21"/>
        <v>0</v>
      </c>
      <c r="K118" s="479"/>
      <c r="L118" s="488"/>
      <c r="M118" s="479">
        <f t="shared" si="23"/>
        <v>0</v>
      </c>
      <c r="N118" s="488"/>
      <c r="O118" s="479">
        <f t="shared" si="25"/>
        <v>0</v>
      </c>
      <c r="P118" s="479">
        <f t="shared" si="26"/>
        <v>0</v>
      </c>
    </row>
    <row r="119" spans="2:16" ht="12.5">
      <c r="B119" s="160" t="str">
        <f t="shared" si="27"/>
        <v/>
      </c>
      <c r="C119" s="473">
        <f>IF(D93="","-",+C118+1)</f>
        <v>2029</v>
      </c>
      <c r="D119" s="347">
        <f>IF(F118+SUM(E$99:E118)=D$92,F118,D$92-SUM(E$99:E118))</f>
        <v>2640339.1399999997</v>
      </c>
      <c r="E119" s="487">
        <f>IF(+J96&lt;F118,J96,D119)</f>
        <v>114363</v>
      </c>
      <c r="F119" s="486">
        <f t="shared" si="30"/>
        <v>2525976.1399999997</v>
      </c>
      <c r="G119" s="486">
        <f t="shared" si="31"/>
        <v>2583157.6399999997</v>
      </c>
      <c r="H119" s="489">
        <f t="shared" si="32"/>
        <v>380722.7842613394</v>
      </c>
      <c r="I119" s="543">
        <f t="shared" si="33"/>
        <v>380722.7842613394</v>
      </c>
      <c r="J119" s="479">
        <f t="shared" si="21"/>
        <v>0</v>
      </c>
      <c r="K119" s="479"/>
      <c r="L119" s="488"/>
      <c r="M119" s="479">
        <f t="shared" si="23"/>
        <v>0</v>
      </c>
      <c r="N119" s="488"/>
      <c r="O119" s="479">
        <f t="shared" si="25"/>
        <v>0</v>
      </c>
      <c r="P119" s="479">
        <f t="shared" si="26"/>
        <v>0</v>
      </c>
    </row>
    <row r="120" spans="2:16" ht="12.5">
      <c r="B120" s="160" t="str">
        <f t="shared" si="27"/>
        <v/>
      </c>
      <c r="C120" s="473">
        <f>IF(D93="","-",+C119+1)</f>
        <v>2030</v>
      </c>
      <c r="D120" s="347">
        <f>IF(F119+SUM(E$99:E119)=D$92,F119,D$92-SUM(E$99:E119))</f>
        <v>2525976.1399999997</v>
      </c>
      <c r="E120" s="487">
        <f>IF(+J96&lt;F119,J96,D120)</f>
        <v>114363</v>
      </c>
      <c r="F120" s="486">
        <f t="shared" si="30"/>
        <v>2411613.1399999997</v>
      </c>
      <c r="G120" s="486">
        <f t="shared" si="31"/>
        <v>2468794.6399999997</v>
      </c>
      <c r="H120" s="489">
        <f t="shared" si="32"/>
        <v>368930.35489668034</v>
      </c>
      <c r="I120" s="543">
        <f t="shared" si="33"/>
        <v>368930.35489668034</v>
      </c>
      <c r="J120" s="479">
        <f t="shared" si="21"/>
        <v>0</v>
      </c>
      <c r="K120" s="479"/>
      <c r="L120" s="488"/>
      <c r="M120" s="479">
        <f t="shared" si="23"/>
        <v>0</v>
      </c>
      <c r="N120" s="488"/>
      <c r="O120" s="479">
        <f t="shared" si="25"/>
        <v>0</v>
      </c>
      <c r="P120" s="479">
        <f t="shared" si="26"/>
        <v>0</v>
      </c>
    </row>
    <row r="121" spans="2:16" ht="12.5">
      <c r="B121" s="160" t="str">
        <f t="shared" si="27"/>
        <v/>
      </c>
      <c r="C121" s="473">
        <f>IF(D93="","-",+C120+1)</f>
        <v>2031</v>
      </c>
      <c r="D121" s="347">
        <f>IF(F120+SUM(E$99:E120)=D$92,F120,D$92-SUM(E$99:E120))</f>
        <v>2411613.1399999997</v>
      </c>
      <c r="E121" s="487">
        <f>IF(+J96&lt;F120,J96,D121)</f>
        <v>114363</v>
      </c>
      <c r="F121" s="486">
        <f t="shared" si="30"/>
        <v>2297250.1399999997</v>
      </c>
      <c r="G121" s="486">
        <f t="shared" si="31"/>
        <v>2354431.6399999997</v>
      </c>
      <c r="H121" s="489">
        <f t="shared" si="32"/>
        <v>357137.92553202121</v>
      </c>
      <c r="I121" s="543">
        <f t="shared" si="33"/>
        <v>357137.92553202121</v>
      </c>
      <c r="J121" s="479">
        <f t="shared" si="21"/>
        <v>0</v>
      </c>
      <c r="K121" s="479"/>
      <c r="L121" s="488"/>
      <c r="M121" s="479">
        <f t="shared" si="23"/>
        <v>0</v>
      </c>
      <c r="N121" s="488"/>
      <c r="O121" s="479">
        <f t="shared" si="25"/>
        <v>0</v>
      </c>
      <c r="P121" s="479">
        <f t="shared" si="26"/>
        <v>0</v>
      </c>
    </row>
    <row r="122" spans="2:16" ht="12.5">
      <c r="B122" s="160" t="str">
        <f t="shared" si="27"/>
        <v/>
      </c>
      <c r="C122" s="473">
        <f>IF(D93="","-",+C121+1)</f>
        <v>2032</v>
      </c>
      <c r="D122" s="347">
        <f>IF(F121+SUM(E$99:E121)=D$92,F121,D$92-SUM(E$99:E121))</f>
        <v>2297250.1399999997</v>
      </c>
      <c r="E122" s="487">
        <f>IF(+J96&lt;F121,J96,D122)</f>
        <v>114363</v>
      </c>
      <c r="F122" s="486">
        <f t="shared" si="30"/>
        <v>2182887.1399999997</v>
      </c>
      <c r="G122" s="486">
        <f t="shared" si="31"/>
        <v>2240068.6399999997</v>
      </c>
      <c r="H122" s="489">
        <f t="shared" si="32"/>
        <v>345345.49616736209</v>
      </c>
      <c r="I122" s="543">
        <f t="shared" si="33"/>
        <v>345345.49616736209</v>
      </c>
      <c r="J122" s="479">
        <f t="shared" si="21"/>
        <v>0</v>
      </c>
      <c r="K122" s="479"/>
      <c r="L122" s="488"/>
      <c r="M122" s="479">
        <f t="shared" si="23"/>
        <v>0</v>
      </c>
      <c r="N122" s="488"/>
      <c r="O122" s="479">
        <f t="shared" si="25"/>
        <v>0</v>
      </c>
      <c r="P122" s="479">
        <f t="shared" si="26"/>
        <v>0</v>
      </c>
    </row>
    <row r="123" spans="2:16" ht="12.5">
      <c r="B123" s="160" t="str">
        <f t="shared" si="27"/>
        <v/>
      </c>
      <c r="C123" s="473">
        <f>IF(D93="","-",+C122+1)</f>
        <v>2033</v>
      </c>
      <c r="D123" s="347">
        <f>IF(F122+SUM(E$99:E122)=D$92,F122,D$92-SUM(E$99:E122))</f>
        <v>2182887.1399999997</v>
      </c>
      <c r="E123" s="487">
        <f>IF(+J96&lt;F122,J96,D123)</f>
        <v>114363</v>
      </c>
      <c r="F123" s="486">
        <f t="shared" si="30"/>
        <v>2068524.1399999997</v>
      </c>
      <c r="G123" s="486">
        <f t="shared" si="31"/>
        <v>2125705.6399999997</v>
      </c>
      <c r="H123" s="489">
        <f t="shared" si="32"/>
        <v>333553.06680270296</v>
      </c>
      <c r="I123" s="543">
        <f t="shared" si="33"/>
        <v>333553.06680270296</v>
      </c>
      <c r="J123" s="479">
        <f t="shared" si="21"/>
        <v>0</v>
      </c>
      <c r="K123" s="479"/>
      <c r="L123" s="488"/>
      <c r="M123" s="479">
        <f t="shared" si="23"/>
        <v>0</v>
      </c>
      <c r="N123" s="488"/>
      <c r="O123" s="479">
        <f t="shared" si="25"/>
        <v>0</v>
      </c>
      <c r="P123" s="479">
        <f t="shared" si="26"/>
        <v>0</v>
      </c>
    </row>
    <row r="124" spans="2:16" ht="12.5">
      <c r="B124" s="160" t="str">
        <f t="shared" si="27"/>
        <v/>
      </c>
      <c r="C124" s="473">
        <f>IF(D93="","-",+C123+1)</f>
        <v>2034</v>
      </c>
      <c r="D124" s="347">
        <f>IF(F123+SUM(E$99:E123)=D$92,F123,D$92-SUM(E$99:E123))</f>
        <v>2068524.1399999997</v>
      </c>
      <c r="E124" s="487">
        <f>IF(+J96&lt;F123,J96,D124)</f>
        <v>114363</v>
      </c>
      <c r="F124" s="486">
        <f t="shared" si="30"/>
        <v>1954161.1399999997</v>
      </c>
      <c r="G124" s="486">
        <f t="shared" si="31"/>
        <v>2011342.6399999997</v>
      </c>
      <c r="H124" s="489">
        <f t="shared" si="32"/>
        <v>321760.63743804384</v>
      </c>
      <c r="I124" s="543">
        <f t="shared" si="33"/>
        <v>321760.63743804384</v>
      </c>
      <c r="J124" s="479">
        <f t="shared" si="21"/>
        <v>0</v>
      </c>
      <c r="K124" s="479"/>
      <c r="L124" s="488"/>
      <c r="M124" s="479">
        <f t="shared" si="23"/>
        <v>0</v>
      </c>
      <c r="N124" s="488"/>
      <c r="O124" s="479">
        <f t="shared" si="25"/>
        <v>0</v>
      </c>
      <c r="P124" s="479">
        <f t="shared" si="26"/>
        <v>0</v>
      </c>
    </row>
    <row r="125" spans="2:16" ht="12.5">
      <c r="B125" s="160" t="str">
        <f t="shared" si="27"/>
        <v/>
      </c>
      <c r="C125" s="473">
        <f>IF(D93="","-",+C124+1)</f>
        <v>2035</v>
      </c>
      <c r="D125" s="347">
        <f>IF(F124+SUM(E$99:E124)=D$92,F124,D$92-SUM(E$99:E124))</f>
        <v>1954161.1399999997</v>
      </c>
      <c r="E125" s="487">
        <f>IF(+J96&lt;F124,J96,D125)</f>
        <v>114363</v>
      </c>
      <c r="F125" s="486">
        <f t="shared" si="30"/>
        <v>1839798.1399999997</v>
      </c>
      <c r="G125" s="486">
        <f t="shared" si="31"/>
        <v>1896979.6399999997</v>
      </c>
      <c r="H125" s="489">
        <f t="shared" si="32"/>
        <v>309968.20807338471</v>
      </c>
      <c r="I125" s="543">
        <f t="shared" si="33"/>
        <v>309968.20807338471</v>
      </c>
      <c r="J125" s="479">
        <f t="shared" si="21"/>
        <v>0</v>
      </c>
      <c r="K125" s="479"/>
      <c r="L125" s="488"/>
      <c r="M125" s="479">
        <f t="shared" si="23"/>
        <v>0</v>
      </c>
      <c r="N125" s="488"/>
      <c r="O125" s="479">
        <f t="shared" si="25"/>
        <v>0</v>
      </c>
      <c r="P125" s="479">
        <f t="shared" si="26"/>
        <v>0</v>
      </c>
    </row>
    <row r="126" spans="2:16" ht="12.5">
      <c r="B126" s="160" t="str">
        <f t="shared" si="27"/>
        <v/>
      </c>
      <c r="C126" s="473">
        <f>IF(D93="","-",+C125+1)</f>
        <v>2036</v>
      </c>
      <c r="D126" s="347">
        <f>IF(F125+SUM(E$99:E125)=D$92,F125,D$92-SUM(E$99:E125))</f>
        <v>1839798.1399999997</v>
      </c>
      <c r="E126" s="487">
        <f>IF(+J96&lt;F125,J96,D126)</f>
        <v>114363</v>
      </c>
      <c r="F126" s="486">
        <f t="shared" si="30"/>
        <v>1725435.1399999997</v>
      </c>
      <c r="G126" s="486">
        <f t="shared" si="31"/>
        <v>1782616.6399999997</v>
      </c>
      <c r="H126" s="489">
        <f t="shared" si="32"/>
        <v>298175.77870872559</v>
      </c>
      <c r="I126" s="543">
        <f t="shared" si="33"/>
        <v>298175.77870872559</v>
      </c>
      <c r="J126" s="479">
        <f t="shared" si="21"/>
        <v>0</v>
      </c>
      <c r="K126" s="479"/>
      <c r="L126" s="488"/>
      <c r="M126" s="479">
        <f t="shared" si="23"/>
        <v>0</v>
      </c>
      <c r="N126" s="488"/>
      <c r="O126" s="479">
        <f t="shared" si="25"/>
        <v>0</v>
      </c>
      <c r="P126" s="479">
        <f t="shared" si="26"/>
        <v>0</v>
      </c>
    </row>
    <row r="127" spans="2:16" ht="12.5">
      <c r="B127" s="160" t="str">
        <f t="shared" si="27"/>
        <v/>
      </c>
      <c r="C127" s="473">
        <f>IF(D93="","-",+C126+1)</f>
        <v>2037</v>
      </c>
      <c r="D127" s="347">
        <f>IF(F126+SUM(E$99:E126)=D$92,F126,D$92-SUM(E$99:E126))</f>
        <v>1725435.1399999997</v>
      </c>
      <c r="E127" s="487">
        <f>IF(+J96&lt;F126,J96,D127)</f>
        <v>114363</v>
      </c>
      <c r="F127" s="486">
        <f t="shared" si="30"/>
        <v>1611072.1399999997</v>
      </c>
      <c r="G127" s="486">
        <f t="shared" si="31"/>
        <v>1668253.6399999997</v>
      </c>
      <c r="H127" s="489">
        <f t="shared" si="32"/>
        <v>286383.34934406646</v>
      </c>
      <c r="I127" s="543">
        <f t="shared" si="33"/>
        <v>286383.34934406646</v>
      </c>
      <c r="J127" s="479">
        <f t="shared" si="21"/>
        <v>0</v>
      </c>
      <c r="K127" s="479"/>
      <c r="L127" s="488"/>
      <c r="M127" s="479">
        <f t="shared" si="23"/>
        <v>0</v>
      </c>
      <c r="N127" s="488"/>
      <c r="O127" s="479">
        <f t="shared" si="25"/>
        <v>0</v>
      </c>
      <c r="P127" s="479">
        <f t="shared" si="26"/>
        <v>0</v>
      </c>
    </row>
    <row r="128" spans="2:16" ht="12.5">
      <c r="B128" s="160" t="str">
        <f t="shared" si="27"/>
        <v/>
      </c>
      <c r="C128" s="473">
        <f>IF(D93="","-",+C127+1)</f>
        <v>2038</v>
      </c>
      <c r="D128" s="347">
        <f>IF(F127+SUM(E$99:E127)=D$92,F127,D$92-SUM(E$99:E127))</f>
        <v>1611072.1399999997</v>
      </c>
      <c r="E128" s="487">
        <f>IF(+J96&lt;F127,J96,D128)</f>
        <v>114363</v>
      </c>
      <c r="F128" s="486">
        <f t="shared" si="30"/>
        <v>1496709.1399999997</v>
      </c>
      <c r="G128" s="486">
        <f t="shared" si="31"/>
        <v>1553890.6399999997</v>
      </c>
      <c r="H128" s="489">
        <f t="shared" si="32"/>
        <v>274590.91997940734</v>
      </c>
      <c r="I128" s="543">
        <f t="shared" si="33"/>
        <v>274590.91997940734</v>
      </c>
      <c r="J128" s="479">
        <f t="shared" si="21"/>
        <v>0</v>
      </c>
      <c r="K128" s="479"/>
      <c r="L128" s="488"/>
      <c r="M128" s="479">
        <f t="shared" si="23"/>
        <v>0</v>
      </c>
      <c r="N128" s="488"/>
      <c r="O128" s="479">
        <f t="shared" si="25"/>
        <v>0</v>
      </c>
      <c r="P128" s="479">
        <f t="shared" si="26"/>
        <v>0</v>
      </c>
    </row>
    <row r="129" spans="2:16" ht="12.5">
      <c r="B129" s="160" t="str">
        <f t="shared" si="27"/>
        <v/>
      </c>
      <c r="C129" s="473">
        <f>IF(D93="","-",+C128+1)</f>
        <v>2039</v>
      </c>
      <c r="D129" s="347">
        <f>IF(F128+SUM(E$99:E128)=D$92,F128,D$92-SUM(E$99:E128))</f>
        <v>1496709.1399999997</v>
      </c>
      <c r="E129" s="487">
        <f>IF(+J96&lt;F128,J96,D129)</f>
        <v>114363</v>
      </c>
      <c r="F129" s="486">
        <f t="shared" si="30"/>
        <v>1382346.1399999997</v>
      </c>
      <c r="G129" s="486">
        <f t="shared" si="31"/>
        <v>1439527.6399999997</v>
      </c>
      <c r="H129" s="489">
        <f t="shared" si="32"/>
        <v>262798.49061474821</v>
      </c>
      <c r="I129" s="543">
        <f t="shared" si="33"/>
        <v>262798.49061474821</v>
      </c>
      <c r="J129" s="479">
        <f t="shared" si="21"/>
        <v>0</v>
      </c>
      <c r="K129" s="479"/>
      <c r="L129" s="488"/>
      <c r="M129" s="479">
        <f t="shared" si="23"/>
        <v>0</v>
      </c>
      <c r="N129" s="488"/>
      <c r="O129" s="479">
        <f t="shared" si="25"/>
        <v>0</v>
      </c>
      <c r="P129" s="479">
        <f t="shared" si="26"/>
        <v>0</v>
      </c>
    </row>
    <row r="130" spans="2:16" ht="12.5">
      <c r="B130" s="160" t="str">
        <f t="shared" si="27"/>
        <v/>
      </c>
      <c r="C130" s="473">
        <f>IF(D93="","-",+C129+1)</f>
        <v>2040</v>
      </c>
      <c r="D130" s="347">
        <f>IF(F129+SUM(E$99:E129)=D$92,F129,D$92-SUM(E$99:E129))</f>
        <v>1382346.1399999997</v>
      </c>
      <c r="E130" s="487">
        <f>IF(+J96&lt;F129,J96,D130)</f>
        <v>114363</v>
      </c>
      <c r="F130" s="486">
        <f t="shared" si="30"/>
        <v>1267983.1399999997</v>
      </c>
      <c r="G130" s="486">
        <f t="shared" si="31"/>
        <v>1325164.6399999997</v>
      </c>
      <c r="H130" s="489">
        <f t="shared" si="32"/>
        <v>251006.06125008906</v>
      </c>
      <c r="I130" s="543">
        <f t="shared" si="33"/>
        <v>251006.06125008906</v>
      </c>
      <c r="J130" s="479">
        <f t="shared" si="21"/>
        <v>0</v>
      </c>
      <c r="K130" s="479"/>
      <c r="L130" s="488"/>
      <c r="M130" s="479">
        <f t="shared" si="23"/>
        <v>0</v>
      </c>
      <c r="N130" s="488"/>
      <c r="O130" s="479">
        <f t="shared" si="25"/>
        <v>0</v>
      </c>
      <c r="P130" s="479">
        <f t="shared" si="26"/>
        <v>0</v>
      </c>
    </row>
    <row r="131" spans="2:16" ht="12.5">
      <c r="B131" s="160" t="str">
        <f t="shared" si="27"/>
        <v/>
      </c>
      <c r="C131" s="473">
        <f>IF(D93="","-",+C130+1)</f>
        <v>2041</v>
      </c>
      <c r="D131" s="347">
        <f>IF(F130+SUM(E$99:E130)=D$92,F130,D$92-SUM(E$99:E130))</f>
        <v>1267983.1399999997</v>
      </c>
      <c r="E131" s="487">
        <f>IF(+J96&lt;F130,J96,D131)</f>
        <v>114363</v>
      </c>
      <c r="F131" s="486">
        <f t="shared" ref="F131:F154" si="34">+D131-E131</f>
        <v>1153620.1399999997</v>
      </c>
      <c r="G131" s="486">
        <f t="shared" ref="G131:G154" si="35">+(F131+D131)/2</f>
        <v>1210801.6399999997</v>
      </c>
      <c r="H131" s="489">
        <f t="shared" si="32"/>
        <v>239213.63188542993</v>
      </c>
      <c r="I131" s="543">
        <f t="shared" si="33"/>
        <v>239213.63188542993</v>
      </c>
      <c r="J131" s="479">
        <f t="shared" ref="J131:J154" si="36">+I131-H131</f>
        <v>0</v>
      </c>
      <c r="K131" s="479"/>
      <c r="L131" s="488"/>
      <c r="M131" s="479">
        <f t="shared" ref="M131:M154" si="37">IF(L131&lt;&gt;0,+H131-L131,0)</f>
        <v>0</v>
      </c>
      <c r="N131" s="488"/>
      <c r="O131" s="479">
        <f t="shared" ref="O131:O154" si="38">IF(N131&lt;&gt;0,+I131-N131,0)</f>
        <v>0</v>
      </c>
      <c r="P131" s="479">
        <f t="shared" ref="P131:P154" si="39">+O131-M131</f>
        <v>0</v>
      </c>
    </row>
    <row r="132" spans="2:16" ht="12.5">
      <c r="B132" s="160" t="str">
        <f t="shared" si="27"/>
        <v/>
      </c>
      <c r="C132" s="473">
        <f>IF(D93="","-",+C131+1)</f>
        <v>2042</v>
      </c>
      <c r="D132" s="347">
        <f>IF(F131+SUM(E$99:E131)=D$92,F131,D$92-SUM(E$99:E131))</f>
        <v>1153620.1399999997</v>
      </c>
      <c r="E132" s="487">
        <f>IF(+J96&lt;F131,J96,D132)</f>
        <v>114363</v>
      </c>
      <c r="F132" s="486">
        <f t="shared" si="34"/>
        <v>1039257.1399999997</v>
      </c>
      <c r="G132" s="486">
        <f t="shared" si="35"/>
        <v>1096438.6399999997</v>
      </c>
      <c r="H132" s="489">
        <f t="shared" si="32"/>
        <v>227421.20252077081</v>
      </c>
      <c r="I132" s="543">
        <f t="shared" si="33"/>
        <v>227421.20252077081</v>
      </c>
      <c r="J132" s="479">
        <f t="shared" si="36"/>
        <v>0</v>
      </c>
      <c r="K132" s="479"/>
      <c r="L132" s="488"/>
      <c r="M132" s="479">
        <f t="shared" si="37"/>
        <v>0</v>
      </c>
      <c r="N132" s="488"/>
      <c r="O132" s="479">
        <f t="shared" si="38"/>
        <v>0</v>
      </c>
      <c r="P132" s="479">
        <f t="shared" si="39"/>
        <v>0</v>
      </c>
    </row>
    <row r="133" spans="2:16" ht="12.5">
      <c r="B133" s="160" t="str">
        <f t="shared" si="27"/>
        <v/>
      </c>
      <c r="C133" s="473">
        <f>IF(D93="","-",+C132+1)</f>
        <v>2043</v>
      </c>
      <c r="D133" s="347">
        <f>IF(F132+SUM(E$99:E132)=D$92,F132,D$92-SUM(E$99:E132))</f>
        <v>1039257.1399999997</v>
      </c>
      <c r="E133" s="487">
        <f>IF(+J96&lt;F132,J96,D133)</f>
        <v>114363</v>
      </c>
      <c r="F133" s="486">
        <f t="shared" si="34"/>
        <v>924894.13999999966</v>
      </c>
      <c r="G133" s="486">
        <f t="shared" si="35"/>
        <v>982075.63999999966</v>
      </c>
      <c r="H133" s="489">
        <f t="shared" si="32"/>
        <v>215628.77315611168</v>
      </c>
      <c r="I133" s="543">
        <f t="shared" si="33"/>
        <v>215628.77315611168</v>
      </c>
      <c r="J133" s="479">
        <f t="shared" si="36"/>
        <v>0</v>
      </c>
      <c r="K133" s="479"/>
      <c r="L133" s="488"/>
      <c r="M133" s="479">
        <f t="shared" si="37"/>
        <v>0</v>
      </c>
      <c r="N133" s="488"/>
      <c r="O133" s="479">
        <f t="shared" si="38"/>
        <v>0</v>
      </c>
      <c r="P133" s="479">
        <f t="shared" si="39"/>
        <v>0</v>
      </c>
    </row>
    <row r="134" spans="2:16" ht="12.5">
      <c r="B134" s="160" t="str">
        <f t="shared" si="27"/>
        <v/>
      </c>
      <c r="C134" s="473">
        <f>IF(D93="","-",+C133+1)</f>
        <v>2044</v>
      </c>
      <c r="D134" s="347">
        <f>IF(F133+SUM(E$99:E133)=D$92,F133,D$92-SUM(E$99:E133))</f>
        <v>924894.13999999966</v>
      </c>
      <c r="E134" s="487">
        <f>IF(+J96&lt;F133,J96,D134)</f>
        <v>114363</v>
      </c>
      <c r="F134" s="486">
        <f t="shared" si="34"/>
        <v>810531.13999999966</v>
      </c>
      <c r="G134" s="486">
        <f t="shared" si="35"/>
        <v>867712.63999999966</v>
      </c>
      <c r="H134" s="489">
        <f t="shared" si="32"/>
        <v>203836.34379145256</v>
      </c>
      <c r="I134" s="543">
        <f t="shared" si="33"/>
        <v>203836.34379145256</v>
      </c>
      <c r="J134" s="479">
        <f t="shared" si="36"/>
        <v>0</v>
      </c>
      <c r="K134" s="479"/>
      <c r="L134" s="488"/>
      <c r="M134" s="479">
        <f t="shared" si="37"/>
        <v>0</v>
      </c>
      <c r="N134" s="488"/>
      <c r="O134" s="479">
        <f t="shared" si="38"/>
        <v>0</v>
      </c>
      <c r="P134" s="479">
        <f t="shared" si="39"/>
        <v>0</v>
      </c>
    </row>
    <row r="135" spans="2:16" ht="12.5">
      <c r="B135" s="160" t="str">
        <f t="shared" si="27"/>
        <v/>
      </c>
      <c r="C135" s="473">
        <f>IF(D93="","-",+C134+1)</f>
        <v>2045</v>
      </c>
      <c r="D135" s="347">
        <f>IF(F134+SUM(E$99:E134)=D$92,F134,D$92-SUM(E$99:E134))</f>
        <v>810531.13999999966</v>
      </c>
      <c r="E135" s="487">
        <f>IF(+J96&lt;F134,J96,D135)</f>
        <v>114363</v>
      </c>
      <c r="F135" s="486">
        <f t="shared" si="34"/>
        <v>696168.13999999966</v>
      </c>
      <c r="G135" s="486">
        <f t="shared" si="35"/>
        <v>753349.63999999966</v>
      </c>
      <c r="H135" s="489">
        <f t="shared" si="32"/>
        <v>192043.91442679343</v>
      </c>
      <c r="I135" s="543">
        <f t="shared" si="33"/>
        <v>192043.91442679343</v>
      </c>
      <c r="J135" s="479">
        <f t="shared" si="36"/>
        <v>0</v>
      </c>
      <c r="K135" s="479"/>
      <c r="L135" s="488"/>
      <c r="M135" s="479">
        <f t="shared" si="37"/>
        <v>0</v>
      </c>
      <c r="N135" s="488"/>
      <c r="O135" s="479">
        <f t="shared" si="38"/>
        <v>0</v>
      </c>
      <c r="P135" s="479">
        <f t="shared" si="39"/>
        <v>0</v>
      </c>
    </row>
    <row r="136" spans="2:16" ht="12.5">
      <c r="B136" s="160" t="str">
        <f t="shared" si="27"/>
        <v/>
      </c>
      <c r="C136" s="473">
        <f>IF(D93="","-",+C135+1)</f>
        <v>2046</v>
      </c>
      <c r="D136" s="347">
        <f>IF(F135+SUM(E$99:E135)=D$92,F135,D$92-SUM(E$99:E135))</f>
        <v>696168.13999999966</v>
      </c>
      <c r="E136" s="487">
        <f>IF(+J96&lt;F135,J96,D136)</f>
        <v>114363</v>
      </c>
      <c r="F136" s="486">
        <f t="shared" si="34"/>
        <v>581805.13999999966</v>
      </c>
      <c r="G136" s="486">
        <f t="shared" si="35"/>
        <v>638986.63999999966</v>
      </c>
      <c r="H136" s="489">
        <f t="shared" si="32"/>
        <v>180251.48506213431</v>
      </c>
      <c r="I136" s="543">
        <f t="shared" si="33"/>
        <v>180251.48506213431</v>
      </c>
      <c r="J136" s="479">
        <f t="shared" si="36"/>
        <v>0</v>
      </c>
      <c r="K136" s="479"/>
      <c r="L136" s="488"/>
      <c r="M136" s="479">
        <f t="shared" si="37"/>
        <v>0</v>
      </c>
      <c r="N136" s="488"/>
      <c r="O136" s="479">
        <f t="shared" si="38"/>
        <v>0</v>
      </c>
      <c r="P136" s="479">
        <f t="shared" si="39"/>
        <v>0</v>
      </c>
    </row>
    <row r="137" spans="2:16" ht="12.5">
      <c r="B137" s="160" t="str">
        <f t="shared" si="27"/>
        <v/>
      </c>
      <c r="C137" s="473">
        <f>IF(D93="","-",+C136+1)</f>
        <v>2047</v>
      </c>
      <c r="D137" s="347">
        <f>IF(F136+SUM(E$99:E136)=D$92,F136,D$92-SUM(E$99:E136))</f>
        <v>581805.13999999966</v>
      </c>
      <c r="E137" s="487">
        <f>IF(+J96&lt;F136,J96,D137)</f>
        <v>114363</v>
      </c>
      <c r="F137" s="486">
        <f t="shared" si="34"/>
        <v>467442.13999999966</v>
      </c>
      <c r="G137" s="486">
        <f t="shared" si="35"/>
        <v>524623.63999999966</v>
      </c>
      <c r="H137" s="489">
        <f t="shared" si="32"/>
        <v>168459.05569747518</v>
      </c>
      <c r="I137" s="543">
        <f t="shared" si="33"/>
        <v>168459.05569747518</v>
      </c>
      <c r="J137" s="479">
        <f t="shared" si="36"/>
        <v>0</v>
      </c>
      <c r="K137" s="479"/>
      <c r="L137" s="488"/>
      <c r="M137" s="479">
        <f t="shared" si="37"/>
        <v>0</v>
      </c>
      <c r="N137" s="488"/>
      <c r="O137" s="479">
        <f t="shared" si="38"/>
        <v>0</v>
      </c>
      <c r="P137" s="479">
        <f t="shared" si="39"/>
        <v>0</v>
      </c>
    </row>
    <row r="138" spans="2:16" ht="12.5">
      <c r="B138" s="160" t="str">
        <f t="shared" si="27"/>
        <v/>
      </c>
      <c r="C138" s="473">
        <f>IF(D93="","-",+C137+1)</f>
        <v>2048</v>
      </c>
      <c r="D138" s="347">
        <f>IF(F137+SUM(E$99:E137)=D$92,F137,D$92-SUM(E$99:E137))</f>
        <v>467442.13999999966</v>
      </c>
      <c r="E138" s="487">
        <f>IF(+J96&lt;F137,J96,D138)</f>
        <v>114363</v>
      </c>
      <c r="F138" s="486">
        <f t="shared" si="34"/>
        <v>353079.13999999966</v>
      </c>
      <c r="G138" s="486">
        <f t="shared" si="35"/>
        <v>410260.63999999966</v>
      </c>
      <c r="H138" s="489">
        <f t="shared" si="32"/>
        <v>156666.62633281606</v>
      </c>
      <c r="I138" s="543">
        <f t="shared" si="33"/>
        <v>156666.62633281606</v>
      </c>
      <c r="J138" s="479">
        <f t="shared" si="36"/>
        <v>0</v>
      </c>
      <c r="K138" s="479"/>
      <c r="L138" s="488"/>
      <c r="M138" s="479">
        <f t="shared" si="37"/>
        <v>0</v>
      </c>
      <c r="N138" s="488"/>
      <c r="O138" s="479">
        <f t="shared" si="38"/>
        <v>0</v>
      </c>
      <c r="P138" s="479">
        <f t="shared" si="39"/>
        <v>0</v>
      </c>
    </row>
    <row r="139" spans="2:16" ht="12.5">
      <c r="B139" s="160" t="str">
        <f t="shared" si="27"/>
        <v/>
      </c>
      <c r="C139" s="473">
        <f>IF(D93="","-",+C138+1)</f>
        <v>2049</v>
      </c>
      <c r="D139" s="347">
        <f>IF(F138+SUM(E$99:E138)=D$92,F138,D$92-SUM(E$99:E138))</f>
        <v>353079.13999999966</v>
      </c>
      <c r="E139" s="487">
        <f>IF(+J96&lt;F138,J96,D139)</f>
        <v>114363</v>
      </c>
      <c r="F139" s="486">
        <f t="shared" si="34"/>
        <v>238716.13999999966</v>
      </c>
      <c r="G139" s="486">
        <f t="shared" si="35"/>
        <v>295897.63999999966</v>
      </c>
      <c r="H139" s="489">
        <f t="shared" si="32"/>
        <v>144874.19696815693</v>
      </c>
      <c r="I139" s="543">
        <f t="shared" si="33"/>
        <v>144874.19696815693</v>
      </c>
      <c r="J139" s="479">
        <f t="shared" si="36"/>
        <v>0</v>
      </c>
      <c r="K139" s="479"/>
      <c r="L139" s="488"/>
      <c r="M139" s="479">
        <f t="shared" si="37"/>
        <v>0</v>
      </c>
      <c r="N139" s="488"/>
      <c r="O139" s="479">
        <f t="shared" si="38"/>
        <v>0</v>
      </c>
      <c r="P139" s="479">
        <f t="shared" si="39"/>
        <v>0</v>
      </c>
    </row>
    <row r="140" spans="2:16" ht="12.5">
      <c r="B140" s="160" t="str">
        <f t="shared" si="27"/>
        <v/>
      </c>
      <c r="C140" s="473">
        <f>IF(D93="","-",+C139+1)</f>
        <v>2050</v>
      </c>
      <c r="D140" s="347">
        <f>IF(F139+SUM(E$99:E139)=D$92,F139,D$92-SUM(E$99:E139))</f>
        <v>238716.13999999966</v>
      </c>
      <c r="E140" s="487">
        <f>IF(+J96&lt;F139,J96,D140)</f>
        <v>114363</v>
      </c>
      <c r="F140" s="486">
        <f t="shared" si="34"/>
        <v>124353.13999999966</v>
      </c>
      <c r="G140" s="486">
        <f t="shared" si="35"/>
        <v>181534.63999999966</v>
      </c>
      <c r="H140" s="489">
        <f t="shared" si="32"/>
        <v>133081.76760349781</v>
      </c>
      <c r="I140" s="543">
        <f t="shared" si="33"/>
        <v>133081.76760349781</v>
      </c>
      <c r="J140" s="479">
        <f t="shared" si="36"/>
        <v>0</v>
      </c>
      <c r="K140" s="479"/>
      <c r="L140" s="488"/>
      <c r="M140" s="479">
        <f t="shared" si="37"/>
        <v>0</v>
      </c>
      <c r="N140" s="488"/>
      <c r="O140" s="479">
        <f t="shared" si="38"/>
        <v>0</v>
      </c>
      <c r="P140" s="479">
        <f t="shared" si="39"/>
        <v>0</v>
      </c>
    </row>
    <row r="141" spans="2:16" ht="12.5">
      <c r="B141" s="160" t="str">
        <f t="shared" si="27"/>
        <v/>
      </c>
      <c r="C141" s="473">
        <f>IF(D93="","-",+C140+1)</f>
        <v>2051</v>
      </c>
      <c r="D141" s="347">
        <f>IF(F140+SUM(E$99:E140)=D$92,F140,D$92-SUM(E$99:E140))</f>
        <v>124353.13999999966</v>
      </c>
      <c r="E141" s="487">
        <f>IF(+J96&lt;F140,J96,D141)</f>
        <v>114363</v>
      </c>
      <c r="F141" s="486">
        <f t="shared" si="34"/>
        <v>9990.1399999996647</v>
      </c>
      <c r="G141" s="486">
        <f t="shared" si="35"/>
        <v>67171.639999999665</v>
      </c>
      <c r="H141" s="489">
        <f t="shared" si="32"/>
        <v>121289.33823883868</v>
      </c>
      <c r="I141" s="543">
        <f t="shared" si="33"/>
        <v>121289.33823883868</v>
      </c>
      <c r="J141" s="479">
        <f t="shared" si="36"/>
        <v>0</v>
      </c>
      <c r="K141" s="479"/>
      <c r="L141" s="488"/>
      <c r="M141" s="479">
        <f t="shared" si="37"/>
        <v>0</v>
      </c>
      <c r="N141" s="488"/>
      <c r="O141" s="479">
        <f t="shared" si="38"/>
        <v>0</v>
      </c>
      <c r="P141" s="479">
        <f t="shared" si="39"/>
        <v>0</v>
      </c>
    </row>
    <row r="142" spans="2:16" ht="12.5">
      <c r="B142" s="160" t="str">
        <f t="shared" si="27"/>
        <v/>
      </c>
      <c r="C142" s="473">
        <f>IF(D93="","-",+C141+1)</f>
        <v>2052</v>
      </c>
      <c r="D142" s="347">
        <f>IF(F141+SUM(E$99:E141)=D$92,F141,D$92-SUM(E$99:E141))</f>
        <v>9990.1399999996647</v>
      </c>
      <c r="E142" s="487">
        <f>IF(+J96&lt;F141,J96,D142)</f>
        <v>9990.1399999996647</v>
      </c>
      <c r="F142" s="486">
        <f t="shared" si="34"/>
        <v>0</v>
      </c>
      <c r="G142" s="486">
        <f t="shared" si="35"/>
        <v>4995.0699999998324</v>
      </c>
      <c r="H142" s="489">
        <f t="shared" si="32"/>
        <v>10505.201778254221</v>
      </c>
      <c r="I142" s="543">
        <f t="shared" si="33"/>
        <v>10505.201778254221</v>
      </c>
      <c r="J142" s="479">
        <f t="shared" si="36"/>
        <v>0</v>
      </c>
      <c r="K142" s="479"/>
      <c r="L142" s="488"/>
      <c r="M142" s="479">
        <f t="shared" si="37"/>
        <v>0</v>
      </c>
      <c r="N142" s="488"/>
      <c r="O142" s="479">
        <f t="shared" si="38"/>
        <v>0</v>
      </c>
      <c r="P142" s="479">
        <f t="shared" si="39"/>
        <v>0</v>
      </c>
    </row>
    <row r="143" spans="2:16" ht="12.5">
      <c r="B143" s="160" t="str">
        <f t="shared" si="27"/>
        <v/>
      </c>
      <c r="C143" s="473">
        <f>IF(D93="","-",+C142+1)</f>
        <v>2053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4"/>
        <v>0</v>
      </c>
      <c r="G143" s="486">
        <f t="shared" si="35"/>
        <v>0</v>
      </c>
      <c r="H143" s="489">
        <f t="shared" si="32"/>
        <v>0</v>
      </c>
      <c r="I143" s="543">
        <f t="shared" si="33"/>
        <v>0</v>
      </c>
      <c r="J143" s="479">
        <f t="shared" si="36"/>
        <v>0</v>
      </c>
      <c r="K143" s="479"/>
      <c r="L143" s="488"/>
      <c r="M143" s="479">
        <f t="shared" si="37"/>
        <v>0</v>
      </c>
      <c r="N143" s="488"/>
      <c r="O143" s="479">
        <f t="shared" si="38"/>
        <v>0</v>
      </c>
      <c r="P143" s="479">
        <f t="shared" si="39"/>
        <v>0</v>
      </c>
    </row>
    <row r="144" spans="2:16" ht="12.5">
      <c r="B144" s="160" t="str">
        <f t="shared" si="27"/>
        <v/>
      </c>
      <c r="C144" s="473">
        <f>IF(D93="","-",+C143+1)</f>
        <v>2054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4"/>
        <v>0</v>
      </c>
      <c r="G144" s="486">
        <f t="shared" si="35"/>
        <v>0</v>
      </c>
      <c r="H144" s="489">
        <f t="shared" si="32"/>
        <v>0</v>
      </c>
      <c r="I144" s="543">
        <f t="shared" si="33"/>
        <v>0</v>
      </c>
      <c r="J144" s="479">
        <f t="shared" si="36"/>
        <v>0</v>
      </c>
      <c r="K144" s="479"/>
      <c r="L144" s="488"/>
      <c r="M144" s="479">
        <f t="shared" si="37"/>
        <v>0</v>
      </c>
      <c r="N144" s="488"/>
      <c r="O144" s="479">
        <f t="shared" si="38"/>
        <v>0</v>
      </c>
      <c r="P144" s="479">
        <f t="shared" si="39"/>
        <v>0</v>
      </c>
    </row>
    <row r="145" spans="2:16" ht="12.5">
      <c r="B145" s="160" t="str">
        <f t="shared" si="27"/>
        <v/>
      </c>
      <c r="C145" s="473">
        <f>IF(D93="","-",+C144+1)</f>
        <v>2055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4"/>
        <v>0</v>
      </c>
      <c r="G145" s="486">
        <f t="shared" si="35"/>
        <v>0</v>
      </c>
      <c r="H145" s="489">
        <f t="shared" si="32"/>
        <v>0</v>
      </c>
      <c r="I145" s="543">
        <f t="shared" si="33"/>
        <v>0</v>
      </c>
      <c r="J145" s="479">
        <f t="shared" si="36"/>
        <v>0</v>
      </c>
      <c r="K145" s="479"/>
      <c r="L145" s="488"/>
      <c r="M145" s="479">
        <f t="shared" si="37"/>
        <v>0</v>
      </c>
      <c r="N145" s="488"/>
      <c r="O145" s="479">
        <f t="shared" si="38"/>
        <v>0</v>
      </c>
      <c r="P145" s="479">
        <f t="shared" si="39"/>
        <v>0</v>
      </c>
    </row>
    <row r="146" spans="2:16" ht="12.5">
      <c r="B146" s="160" t="str">
        <f t="shared" si="27"/>
        <v/>
      </c>
      <c r="C146" s="473">
        <f>IF(D93="","-",+C145+1)</f>
        <v>2056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4"/>
        <v>0</v>
      </c>
      <c r="G146" s="486">
        <f t="shared" si="35"/>
        <v>0</v>
      </c>
      <c r="H146" s="489">
        <f t="shared" si="32"/>
        <v>0</v>
      </c>
      <c r="I146" s="543">
        <f t="shared" si="33"/>
        <v>0</v>
      </c>
      <c r="J146" s="479">
        <f t="shared" si="36"/>
        <v>0</v>
      </c>
      <c r="K146" s="479"/>
      <c r="L146" s="488"/>
      <c r="M146" s="479">
        <f t="shared" si="37"/>
        <v>0</v>
      </c>
      <c r="N146" s="488"/>
      <c r="O146" s="479">
        <f t="shared" si="38"/>
        <v>0</v>
      </c>
      <c r="P146" s="479">
        <f t="shared" si="39"/>
        <v>0</v>
      </c>
    </row>
    <row r="147" spans="2:16" ht="12.5">
      <c r="B147" s="160" t="str">
        <f t="shared" si="27"/>
        <v/>
      </c>
      <c r="C147" s="473">
        <f>IF(D93="","-",+C146+1)</f>
        <v>2057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4"/>
        <v>0</v>
      </c>
      <c r="G147" s="486">
        <f t="shared" si="35"/>
        <v>0</v>
      </c>
      <c r="H147" s="489">
        <f t="shared" si="32"/>
        <v>0</v>
      </c>
      <c r="I147" s="543">
        <f t="shared" si="33"/>
        <v>0</v>
      </c>
      <c r="J147" s="479">
        <f t="shared" si="36"/>
        <v>0</v>
      </c>
      <c r="K147" s="479"/>
      <c r="L147" s="488"/>
      <c r="M147" s="479">
        <f t="shared" si="37"/>
        <v>0</v>
      </c>
      <c r="N147" s="488"/>
      <c r="O147" s="479">
        <f t="shared" si="38"/>
        <v>0</v>
      </c>
      <c r="P147" s="479">
        <f t="shared" si="39"/>
        <v>0</v>
      </c>
    </row>
    <row r="148" spans="2:16" ht="12.5">
      <c r="B148" s="160" t="str">
        <f t="shared" si="27"/>
        <v/>
      </c>
      <c r="C148" s="473">
        <f>IF(D93="","-",+C147+1)</f>
        <v>2058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4"/>
        <v>0</v>
      </c>
      <c r="G148" s="486">
        <f t="shared" si="35"/>
        <v>0</v>
      </c>
      <c r="H148" s="489">
        <f t="shared" si="32"/>
        <v>0</v>
      </c>
      <c r="I148" s="543">
        <f t="shared" si="33"/>
        <v>0</v>
      </c>
      <c r="J148" s="479">
        <f t="shared" si="36"/>
        <v>0</v>
      </c>
      <c r="K148" s="479"/>
      <c r="L148" s="488"/>
      <c r="M148" s="479">
        <f t="shared" si="37"/>
        <v>0</v>
      </c>
      <c r="N148" s="488"/>
      <c r="O148" s="479">
        <f t="shared" si="38"/>
        <v>0</v>
      </c>
      <c r="P148" s="479">
        <f t="shared" si="39"/>
        <v>0</v>
      </c>
    </row>
    <row r="149" spans="2:16" ht="12.5">
      <c r="B149" s="160" t="str">
        <f t="shared" si="27"/>
        <v/>
      </c>
      <c r="C149" s="473">
        <f>IF(D93="","-",+C148+1)</f>
        <v>2059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4"/>
        <v>0</v>
      </c>
      <c r="G149" s="486">
        <f t="shared" si="35"/>
        <v>0</v>
      </c>
      <c r="H149" s="489">
        <f t="shared" si="32"/>
        <v>0</v>
      </c>
      <c r="I149" s="543">
        <f t="shared" si="33"/>
        <v>0</v>
      </c>
      <c r="J149" s="479">
        <f t="shared" si="36"/>
        <v>0</v>
      </c>
      <c r="K149" s="479"/>
      <c r="L149" s="488"/>
      <c r="M149" s="479">
        <f t="shared" si="37"/>
        <v>0</v>
      </c>
      <c r="N149" s="488"/>
      <c r="O149" s="479">
        <f t="shared" si="38"/>
        <v>0</v>
      </c>
      <c r="P149" s="479">
        <f t="shared" si="39"/>
        <v>0</v>
      </c>
    </row>
    <row r="150" spans="2:16" ht="12.5">
      <c r="B150" s="160" t="str">
        <f t="shared" si="27"/>
        <v/>
      </c>
      <c r="C150" s="473">
        <f>IF(D93="","-",+C149+1)</f>
        <v>2060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4"/>
        <v>0</v>
      </c>
      <c r="G150" s="486">
        <f t="shared" si="35"/>
        <v>0</v>
      </c>
      <c r="H150" s="489">
        <f t="shared" si="32"/>
        <v>0</v>
      </c>
      <c r="I150" s="543">
        <f t="shared" si="33"/>
        <v>0</v>
      </c>
      <c r="J150" s="479">
        <f t="shared" si="36"/>
        <v>0</v>
      </c>
      <c r="K150" s="479"/>
      <c r="L150" s="488"/>
      <c r="M150" s="479">
        <f t="shared" si="37"/>
        <v>0</v>
      </c>
      <c r="N150" s="488"/>
      <c r="O150" s="479">
        <f t="shared" si="38"/>
        <v>0</v>
      </c>
      <c r="P150" s="479">
        <f t="shared" si="39"/>
        <v>0</v>
      </c>
    </row>
    <row r="151" spans="2:16" ht="12.5">
      <c r="B151" s="160" t="str">
        <f t="shared" si="27"/>
        <v/>
      </c>
      <c r="C151" s="473">
        <f>IF(D93="","-",+C150+1)</f>
        <v>2061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4"/>
        <v>0</v>
      </c>
      <c r="G151" s="486">
        <f t="shared" si="35"/>
        <v>0</v>
      </c>
      <c r="H151" s="489">
        <f t="shared" si="32"/>
        <v>0</v>
      </c>
      <c r="I151" s="543">
        <f t="shared" si="33"/>
        <v>0</v>
      </c>
      <c r="J151" s="479">
        <f t="shared" si="36"/>
        <v>0</v>
      </c>
      <c r="K151" s="479"/>
      <c r="L151" s="488"/>
      <c r="M151" s="479">
        <f t="shared" si="37"/>
        <v>0</v>
      </c>
      <c r="N151" s="488"/>
      <c r="O151" s="479">
        <f t="shared" si="38"/>
        <v>0</v>
      </c>
      <c r="P151" s="479">
        <f t="shared" si="39"/>
        <v>0</v>
      </c>
    </row>
    <row r="152" spans="2:16" ht="12.5">
      <c r="B152" s="160" t="str">
        <f t="shared" si="27"/>
        <v/>
      </c>
      <c r="C152" s="473">
        <f>IF(D93="","-",+C151+1)</f>
        <v>2062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4"/>
        <v>0</v>
      </c>
      <c r="G152" s="486">
        <f t="shared" si="35"/>
        <v>0</v>
      </c>
      <c r="H152" s="489">
        <f t="shared" si="32"/>
        <v>0</v>
      </c>
      <c r="I152" s="543">
        <f t="shared" si="33"/>
        <v>0</v>
      </c>
      <c r="J152" s="479">
        <f t="shared" si="36"/>
        <v>0</v>
      </c>
      <c r="K152" s="479"/>
      <c r="L152" s="488"/>
      <c r="M152" s="479">
        <f t="shared" si="37"/>
        <v>0</v>
      </c>
      <c r="N152" s="488"/>
      <c r="O152" s="479">
        <f t="shared" si="38"/>
        <v>0</v>
      </c>
      <c r="P152" s="479">
        <f t="shared" si="39"/>
        <v>0</v>
      </c>
    </row>
    <row r="153" spans="2:16" ht="12.5">
      <c r="B153" s="160" t="str">
        <f t="shared" si="27"/>
        <v/>
      </c>
      <c r="C153" s="473">
        <f>IF(D93="","-",+C152+1)</f>
        <v>2063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4"/>
        <v>0</v>
      </c>
      <c r="G153" s="486">
        <f t="shared" si="35"/>
        <v>0</v>
      </c>
      <c r="H153" s="489">
        <f t="shared" si="32"/>
        <v>0</v>
      </c>
      <c r="I153" s="543">
        <f t="shared" si="33"/>
        <v>0</v>
      </c>
      <c r="J153" s="479">
        <f t="shared" si="36"/>
        <v>0</v>
      </c>
      <c r="K153" s="479"/>
      <c r="L153" s="488"/>
      <c r="M153" s="479">
        <f t="shared" si="37"/>
        <v>0</v>
      </c>
      <c r="N153" s="488"/>
      <c r="O153" s="479">
        <f t="shared" si="38"/>
        <v>0</v>
      </c>
      <c r="P153" s="479">
        <f t="shared" si="39"/>
        <v>0</v>
      </c>
    </row>
    <row r="154" spans="2:16" ht="13" thickBot="1">
      <c r="B154" s="160" t="str">
        <f t="shared" si="27"/>
        <v/>
      </c>
      <c r="C154" s="490">
        <f>IF(D93="","-",+C153+1)</f>
        <v>2064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4"/>
        <v>0</v>
      </c>
      <c r="G154" s="491">
        <f t="shared" si="35"/>
        <v>0</v>
      </c>
      <c r="H154" s="493">
        <f t="shared" si="32"/>
        <v>0</v>
      </c>
      <c r="I154" s="546">
        <f t="shared" si="33"/>
        <v>0</v>
      </c>
      <c r="J154" s="496">
        <f t="shared" si="36"/>
        <v>0</v>
      </c>
      <c r="K154" s="479"/>
      <c r="L154" s="495"/>
      <c r="M154" s="496">
        <f t="shared" si="37"/>
        <v>0</v>
      </c>
      <c r="N154" s="495"/>
      <c r="O154" s="496">
        <f t="shared" si="38"/>
        <v>0</v>
      </c>
      <c r="P154" s="496">
        <f t="shared" si="39"/>
        <v>0</v>
      </c>
    </row>
    <row r="155" spans="2:16" ht="12.5">
      <c r="C155" s="347" t="s">
        <v>77</v>
      </c>
      <c r="D155" s="348"/>
      <c r="E155" s="348">
        <f>SUM(E99:E154)</f>
        <v>4688896.1399999997</v>
      </c>
      <c r="F155" s="348"/>
      <c r="G155" s="348"/>
      <c r="H155" s="348">
        <f>SUM(H99:H154)</f>
        <v>16687802.409457093</v>
      </c>
      <c r="I155" s="348">
        <f>SUM(I99:I154)</f>
        <v>16687802.409457093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tabSelected="1" view="pageBreakPreview" topLeftCell="B1" zoomScale="75" zoomScaleNormal="100" zoomScaleSheetLayoutView="7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3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1310790.7332032048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1310790.7332032048</v>
      </c>
      <c r="O6" s="233"/>
      <c r="P6" s="233"/>
    </row>
    <row r="7" spans="1:16" ht="13.5" thickBot="1">
      <c r="C7" s="432" t="s">
        <v>46</v>
      </c>
      <c r="D7" s="433" t="s">
        <v>208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81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11456065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2009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10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254579.22222222222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C17" s="473">
        <f>IF(D11= "","-",D11)</f>
        <v>2009</v>
      </c>
      <c r="D17" s="474">
        <v>9403820</v>
      </c>
      <c r="E17" s="475">
        <v>29572</v>
      </c>
      <c r="F17" s="474">
        <v>9374248</v>
      </c>
      <c r="G17" s="475">
        <v>388620</v>
      </c>
      <c r="H17" s="475">
        <v>388620</v>
      </c>
      <c r="I17" s="476">
        <f t="shared" ref="I17:I48" si="0">H17-G17</f>
        <v>0</v>
      </c>
      <c r="J17" s="476"/>
      <c r="K17" s="477">
        <v>388620</v>
      </c>
      <c r="L17" s="478">
        <f t="shared" ref="L17:L48" si="1">IF(K17&lt;&gt;0,+G17-K17,0)</f>
        <v>0</v>
      </c>
      <c r="M17" s="477">
        <v>388620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2010</v>
      </c>
      <c r="D18" s="480">
        <v>12236959</v>
      </c>
      <c r="E18" s="481">
        <v>219045</v>
      </c>
      <c r="F18" s="480">
        <v>12017913</v>
      </c>
      <c r="G18" s="481">
        <v>1953188</v>
      </c>
      <c r="H18" s="482">
        <v>1953188</v>
      </c>
      <c r="I18" s="476">
        <f t="shared" si="0"/>
        <v>0</v>
      </c>
      <c r="J18" s="476"/>
      <c r="K18" s="477">
        <f t="shared" ref="K18:K23" si="4">G18</f>
        <v>1953188</v>
      </c>
      <c r="L18" s="551">
        <f t="shared" si="1"/>
        <v>0</v>
      </c>
      <c r="M18" s="477">
        <f t="shared" ref="M18:M23" si="5">H18</f>
        <v>1953188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2011</v>
      </c>
      <c r="D19" s="480">
        <v>11983531</v>
      </c>
      <c r="E19" s="481">
        <v>239846.03921568627</v>
      </c>
      <c r="F19" s="480">
        <v>11743684.960784314</v>
      </c>
      <c r="G19" s="481">
        <v>2078241.729976739</v>
      </c>
      <c r="H19" s="482">
        <v>2078241.729976739</v>
      </c>
      <c r="I19" s="476">
        <f t="shared" si="0"/>
        <v>0</v>
      </c>
      <c r="J19" s="476"/>
      <c r="K19" s="477">
        <f t="shared" si="4"/>
        <v>2078241.729976739</v>
      </c>
      <c r="L19" s="551">
        <f t="shared" si="1"/>
        <v>0</v>
      </c>
      <c r="M19" s="477">
        <f t="shared" si="5"/>
        <v>2078241.729976739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2012</v>
      </c>
      <c r="D20" s="480">
        <v>11743684.960784314</v>
      </c>
      <c r="E20" s="481">
        <v>235233.61538461538</v>
      </c>
      <c r="F20" s="480">
        <v>11508451.345399698</v>
      </c>
      <c r="G20" s="481">
        <v>1837287.5395832672</v>
      </c>
      <c r="H20" s="482">
        <v>1837287.5395832672</v>
      </c>
      <c r="I20" s="476">
        <f t="shared" si="0"/>
        <v>0</v>
      </c>
      <c r="J20" s="476"/>
      <c r="K20" s="477">
        <f t="shared" si="4"/>
        <v>1837287.5395832672</v>
      </c>
      <c r="L20" s="551">
        <f t="shared" si="1"/>
        <v>0</v>
      </c>
      <c r="M20" s="477">
        <f t="shared" si="5"/>
        <v>1837287.5395832672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IF(D12="","-",+C20+1)</f>
        <v>2013</v>
      </c>
      <c r="D21" s="480">
        <v>11508451.345399698</v>
      </c>
      <c r="E21" s="481">
        <v>235233.61538461538</v>
      </c>
      <c r="F21" s="480">
        <v>11273217.730015082</v>
      </c>
      <c r="G21" s="481">
        <v>1845125.3182548014</v>
      </c>
      <c r="H21" s="482">
        <v>1845125.3182548014</v>
      </c>
      <c r="I21" s="476">
        <v>0</v>
      </c>
      <c r="J21" s="476"/>
      <c r="K21" s="477">
        <f t="shared" si="4"/>
        <v>1845125.3182548014</v>
      </c>
      <c r="L21" s="551">
        <f t="shared" ref="L21:L26" si="7">IF(K21&lt;&gt;0,+G21-K21,0)</f>
        <v>0</v>
      </c>
      <c r="M21" s="477">
        <f t="shared" si="5"/>
        <v>1845125.3182548014</v>
      </c>
      <c r="N21" s="479">
        <f t="shared" ref="N21:N26" si="8">IF(M21&lt;&gt;0,+H21-M21,0)</f>
        <v>0</v>
      </c>
      <c r="O21" s="479">
        <f t="shared" ref="O21:O26" si="9">+N21-L21</f>
        <v>0</v>
      </c>
      <c r="P21" s="243"/>
    </row>
    <row r="22" spans="2:16" ht="12.5">
      <c r="B22" s="160" t="str">
        <f t="shared" si="6"/>
        <v/>
      </c>
      <c r="C22" s="473">
        <f>IF(D11="","-",+C21+1)</f>
        <v>2014</v>
      </c>
      <c r="D22" s="480">
        <v>11273217.730015082</v>
      </c>
      <c r="E22" s="481">
        <v>235233.61538461538</v>
      </c>
      <c r="F22" s="480">
        <v>11037984.114630466</v>
      </c>
      <c r="G22" s="481">
        <v>1754708.9063952654</v>
      </c>
      <c r="H22" s="482">
        <v>1754708.9063952654</v>
      </c>
      <c r="I22" s="476">
        <v>0</v>
      </c>
      <c r="J22" s="476"/>
      <c r="K22" s="477">
        <f t="shared" si="4"/>
        <v>1754708.9063952654</v>
      </c>
      <c r="L22" s="551">
        <f t="shared" si="7"/>
        <v>0</v>
      </c>
      <c r="M22" s="477">
        <f t="shared" si="5"/>
        <v>1754708.9063952654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>IU</v>
      </c>
      <c r="C23" s="473">
        <f>IF(D11="","-",+C22+1)</f>
        <v>2015</v>
      </c>
      <c r="D23" s="480">
        <v>10261901.114630468</v>
      </c>
      <c r="E23" s="481">
        <v>220308.94230769231</v>
      </c>
      <c r="F23" s="480">
        <v>10041592.172322776</v>
      </c>
      <c r="G23" s="481">
        <v>1604759.8916783908</v>
      </c>
      <c r="H23" s="482">
        <v>1604759.8916783908</v>
      </c>
      <c r="I23" s="476">
        <v>0</v>
      </c>
      <c r="J23" s="476"/>
      <c r="K23" s="477">
        <f t="shared" si="4"/>
        <v>1604759.8916783908</v>
      </c>
      <c r="L23" s="551">
        <f t="shared" si="7"/>
        <v>0</v>
      </c>
      <c r="M23" s="477">
        <f t="shared" si="5"/>
        <v>1604759.8916783908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2016</v>
      </c>
      <c r="D24" s="480">
        <v>10041592.172322776</v>
      </c>
      <c r="E24" s="481">
        <v>220308.94230769231</v>
      </c>
      <c r="F24" s="480">
        <v>9821283.2300150841</v>
      </c>
      <c r="G24" s="481">
        <v>1508464.8564289983</v>
      </c>
      <c r="H24" s="482">
        <v>1508464.8564289983</v>
      </c>
      <c r="I24" s="476">
        <f t="shared" si="0"/>
        <v>0</v>
      </c>
      <c r="J24" s="476"/>
      <c r="K24" s="477">
        <f>G24</f>
        <v>1508464.8564289983</v>
      </c>
      <c r="L24" s="551">
        <f t="shared" si="7"/>
        <v>0</v>
      </c>
      <c r="M24" s="477">
        <f>H24</f>
        <v>1508464.8564289983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2017</v>
      </c>
      <c r="D25" s="480">
        <v>9821283.2300150841</v>
      </c>
      <c r="E25" s="481">
        <v>249044.89130434784</v>
      </c>
      <c r="F25" s="480">
        <v>9572238.3387107365</v>
      </c>
      <c r="G25" s="481">
        <v>1467214.2093174371</v>
      </c>
      <c r="H25" s="482">
        <v>1467214.2093174371</v>
      </c>
      <c r="I25" s="476">
        <f t="shared" si="0"/>
        <v>0</v>
      </c>
      <c r="J25" s="476"/>
      <c r="K25" s="477">
        <f>G25</f>
        <v>1467214.2093174371</v>
      </c>
      <c r="L25" s="551">
        <f t="shared" si="7"/>
        <v>0</v>
      </c>
      <c r="M25" s="477">
        <f>H25</f>
        <v>1467214.2093174371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2018</v>
      </c>
      <c r="D26" s="480">
        <v>9572238.3387107365</v>
      </c>
      <c r="E26" s="481">
        <v>254579.22222222222</v>
      </c>
      <c r="F26" s="480">
        <v>9317659.1164885145</v>
      </c>
      <c r="G26" s="481">
        <v>1385696.2768787597</v>
      </c>
      <c r="H26" s="482">
        <v>1385696.2768787597</v>
      </c>
      <c r="I26" s="476">
        <f t="shared" si="0"/>
        <v>0</v>
      </c>
      <c r="J26" s="476"/>
      <c r="K26" s="477">
        <f>G26</f>
        <v>1385696.2768787597</v>
      </c>
      <c r="L26" s="551">
        <f t="shared" si="7"/>
        <v>0</v>
      </c>
      <c r="M26" s="477">
        <f>H26</f>
        <v>1385696.2768787597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2019</v>
      </c>
      <c r="D27" s="480">
        <v>9317659.1164885145</v>
      </c>
      <c r="E27" s="481">
        <v>286401.625</v>
      </c>
      <c r="F27" s="480">
        <v>9031257.4914885145</v>
      </c>
      <c r="G27" s="481">
        <v>1310790.7332032048</v>
      </c>
      <c r="H27" s="482">
        <v>1310790.7332032048</v>
      </c>
      <c r="I27" s="476">
        <f t="shared" si="0"/>
        <v>0</v>
      </c>
      <c r="J27" s="476"/>
      <c r="K27" s="477">
        <f>G27</f>
        <v>1310790.7332032048</v>
      </c>
      <c r="L27" s="551">
        <f t="shared" ref="L27" si="10">IF(K27&lt;&gt;0,+G27-K27,0)</f>
        <v>0</v>
      </c>
      <c r="M27" s="477">
        <f>H27</f>
        <v>1310790.7332032048</v>
      </c>
      <c r="N27" s="479">
        <f t="shared" ref="N27" si="11">IF(M27&lt;&gt;0,+H27-M27,0)</f>
        <v>0</v>
      </c>
      <c r="O27" s="479">
        <f t="shared" ref="O27" si="12">+N27-L27</f>
        <v>0</v>
      </c>
      <c r="P27" s="243"/>
    </row>
    <row r="28" spans="2:16" ht="12.5">
      <c r="B28" s="160" t="str">
        <f t="shared" si="6"/>
        <v/>
      </c>
      <c r="C28" s="473">
        <f>IF(D11="","-",+C27+1)</f>
        <v>2020</v>
      </c>
      <c r="D28" s="486">
        <f>IF(F27+SUM(E$17:E27)=D$10,F27,D$10-SUM(E$17:E27))</f>
        <v>9031257.4914885145</v>
      </c>
      <c r="E28" s="485">
        <f>IF(+I14&lt;F27,I14,D28)</f>
        <v>254579.22222222222</v>
      </c>
      <c r="F28" s="486">
        <f t="shared" ref="F28:F72" si="13">+D28-E28</f>
        <v>8776678.2692662925</v>
      </c>
      <c r="G28" s="487">
        <f t="shared" ref="G28:G72" si="14">+I$12*F28+E28</f>
        <v>1442374.5753953843</v>
      </c>
      <c r="H28" s="456">
        <f t="shared" ref="H28:H72" si="15">+I$13*F28+E28</f>
        <v>1442374.5753953843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6"/>
        <v/>
      </c>
      <c r="C29" s="473">
        <f>IF(D11="","-",+C28+1)</f>
        <v>2021</v>
      </c>
      <c r="D29" s="486">
        <f>IF(F28+SUM(E$17:E28)=D$10,F28,D$10-SUM(E$17:E28))</f>
        <v>8776678.2692662925</v>
      </c>
      <c r="E29" s="485">
        <f>IF(+I14&lt;F28,I14,D29)</f>
        <v>254579.22222222222</v>
      </c>
      <c r="F29" s="486">
        <f t="shared" si="13"/>
        <v>8522099.0470440704</v>
      </c>
      <c r="G29" s="487">
        <f t="shared" si="14"/>
        <v>1407920.9919446977</v>
      </c>
      <c r="H29" s="456">
        <f t="shared" si="15"/>
        <v>1407920.9919446977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2022</v>
      </c>
      <c r="D30" s="486">
        <f>IF(F29+SUM(E$17:E29)=D$10,F29,D$10-SUM(E$17:E29))</f>
        <v>8522099.0470440704</v>
      </c>
      <c r="E30" s="485">
        <f>IF(+I14&lt;F29,I14,D30)</f>
        <v>254579.22222222222</v>
      </c>
      <c r="F30" s="486">
        <f t="shared" si="13"/>
        <v>8267519.8248218484</v>
      </c>
      <c r="G30" s="487">
        <f t="shared" si="14"/>
        <v>1373467.4084940113</v>
      </c>
      <c r="H30" s="456">
        <f t="shared" si="15"/>
        <v>1373467.4084940113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2023</v>
      </c>
      <c r="D31" s="486">
        <f>IF(F30+SUM(E$17:E30)=D$10,F30,D$10-SUM(E$17:E30))</f>
        <v>8267519.8248218484</v>
      </c>
      <c r="E31" s="485">
        <f>IF(+I14&lt;F30,I14,D31)</f>
        <v>254579.22222222222</v>
      </c>
      <c r="F31" s="486">
        <f t="shared" si="13"/>
        <v>8012940.6025996264</v>
      </c>
      <c r="G31" s="487">
        <f t="shared" si="14"/>
        <v>1339013.8250433246</v>
      </c>
      <c r="H31" s="456">
        <f t="shared" si="15"/>
        <v>1339013.8250433246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2024</v>
      </c>
      <c r="D32" s="486">
        <f>IF(F31+SUM(E$17:E31)=D$10,F31,D$10-SUM(E$17:E31))</f>
        <v>8012940.6025996264</v>
      </c>
      <c r="E32" s="485">
        <f>IF(+I14&lt;F31,I14,D32)</f>
        <v>254579.22222222222</v>
      </c>
      <c r="F32" s="486">
        <f t="shared" si="13"/>
        <v>7758361.3803774044</v>
      </c>
      <c r="G32" s="487">
        <f t="shared" si="14"/>
        <v>1304560.2415926382</v>
      </c>
      <c r="H32" s="456">
        <f t="shared" si="15"/>
        <v>1304560.2415926382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2025</v>
      </c>
      <c r="D33" s="486">
        <f>IF(F32+SUM(E$17:E32)=D$10,F32,D$10-SUM(E$17:E32))</f>
        <v>7758361.3803774044</v>
      </c>
      <c r="E33" s="485">
        <f>IF(+I14&lt;F32,I14,D33)</f>
        <v>254579.22222222222</v>
      </c>
      <c r="F33" s="486">
        <f t="shared" si="13"/>
        <v>7503782.1581551824</v>
      </c>
      <c r="G33" s="487">
        <f t="shared" si="14"/>
        <v>1270106.6581419515</v>
      </c>
      <c r="H33" s="456">
        <f t="shared" si="15"/>
        <v>1270106.6581419515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2026</v>
      </c>
      <c r="D34" s="486">
        <f>IF(F33+SUM(E$17:E33)=D$10,F33,D$10-SUM(E$17:E33))</f>
        <v>7503782.1581551824</v>
      </c>
      <c r="E34" s="485">
        <f>IF(+I14&lt;F33,I14,D34)</f>
        <v>254579.22222222222</v>
      </c>
      <c r="F34" s="486">
        <f t="shared" si="13"/>
        <v>7249202.9359329604</v>
      </c>
      <c r="G34" s="487">
        <f t="shared" si="14"/>
        <v>1235653.0746912651</v>
      </c>
      <c r="H34" s="456">
        <f t="shared" si="15"/>
        <v>1235653.0746912651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2027</v>
      </c>
      <c r="D35" s="486">
        <f>IF(F34+SUM(E$17:E34)=D$10,F34,D$10-SUM(E$17:E34))</f>
        <v>7249202.9359329604</v>
      </c>
      <c r="E35" s="485">
        <f>IF(+I14&lt;F34,I14,D35)</f>
        <v>254579.22222222222</v>
      </c>
      <c r="F35" s="486">
        <f t="shared" si="13"/>
        <v>6994623.7137107383</v>
      </c>
      <c r="G35" s="487">
        <f t="shared" si="14"/>
        <v>1201199.4912405785</v>
      </c>
      <c r="H35" s="456">
        <f t="shared" si="15"/>
        <v>1201199.4912405785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2028</v>
      </c>
      <c r="D36" s="486">
        <f>IF(F35+SUM(E$17:E35)=D$10,F35,D$10-SUM(E$17:E35))</f>
        <v>6994623.7137107383</v>
      </c>
      <c r="E36" s="485">
        <f>IF(+I14&lt;F35,I14,D36)</f>
        <v>254579.22222222222</v>
      </c>
      <c r="F36" s="486">
        <f t="shared" si="13"/>
        <v>6740044.4914885163</v>
      </c>
      <c r="G36" s="487">
        <f t="shared" si="14"/>
        <v>1166745.9077898921</v>
      </c>
      <c r="H36" s="456">
        <f t="shared" si="15"/>
        <v>1166745.9077898921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2029</v>
      </c>
      <c r="D37" s="486">
        <f>IF(F36+SUM(E$17:E36)=D$10,F36,D$10-SUM(E$17:E36))</f>
        <v>6740044.4914885163</v>
      </c>
      <c r="E37" s="485">
        <f>IF(+I14&lt;F36,I14,D37)</f>
        <v>254579.22222222222</v>
      </c>
      <c r="F37" s="486">
        <f t="shared" si="13"/>
        <v>6485465.2692662943</v>
      </c>
      <c r="G37" s="487">
        <f t="shared" si="14"/>
        <v>1132292.3243392056</v>
      </c>
      <c r="H37" s="456">
        <f t="shared" si="15"/>
        <v>1132292.3243392056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2030</v>
      </c>
      <c r="D38" s="486">
        <f>IF(F37+SUM(E$17:E37)=D$10,F37,D$10-SUM(E$17:E37))</f>
        <v>6485465.2692662943</v>
      </c>
      <c r="E38" s="485">
        <f>IF(+I14&lt;F37,I14,D38)</f>
        <v>254579.22222222222</v>
      </c>
      <c r="F38" s="486">
        <f t="shared" si="13"/>
        <v>6230886.0470440723</v>
      </c>
      <c r="G38" s="487">
        <f t="shared" si="14"/>
        <v>1097838.740888519</v>
      </c>
      <c r="H38" s="456">
        <f t="shared" si="15"/>
        <v>1097838.740888519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2031</v>
      </c>
      <c r="D39" s="486">
        <f>IF(F38+SUM(E$17:E38)=D$10,F38,D$10-SUM(E$17:E38))</f>
        <v>6230886.0470440723</v>
      </c>
      <c r="E39" s="485">
        <f>IF(+I14&lt;F38,I14,D39)</f>
        <v>254579.22222222222</v>
      </c>
      <c r="F39" s="486">
        <f t="shared" si="13"/>
        <v>5976306.8248218503</v>
      </c>
      <c r="G39" s="487">
        <f t="shared" si="14"/>
        <v>1063385.1574378326</v>
      </c>
      <c r="H39" s="456">
        <f t="shared" si="15"/>
        <v>1063385.1574378326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2032</v>
      </c>
      <c r="D40" s="486">
        <f>IF(F39+SUM(E$17:E39)=D$10,F39,D$10-SUM(E$17:E39))</f>
        <v>5976306.8248218503</v>
      </c>
      <c r="E40" s="485">
        <f>IF(+I14&lt;F39,I14,D40)</f>
        <v>254579.22222222222</v>
      </c>
      <c r="F40" s="486">
        <f t="shared" si="13"/>
        <v>5721727.6025996283</v>
      </c>
      <c r="G40" s="487">
        <f t="shared" si="14"/>
        <v>1028931.573987146</v>
      </c>
      <c r="H40" s="456">
        <f t="shared" si="15"/>
        <v>1028931.573987146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2033</v>
      </c>
      <c r="D41" s="486">
        <f>IF(F40+SUM(E$17:E40)=D$10,F40,D$10-SUM(E$17:E40))</f>
        <v>5721727.6025996283</v>
      </c>
      <c r="E41" s="485">
        <f>IF(+I14&lt;F40,I14,D41)</f>
        <v>254579.22222222222</v>
      </c>
      <c r="F41" s="486">
        <f t="shared" si="13"/>
        <v>5467148.3803774063</v>
      </c>
      <c r="G41" s="487">
        <f t="shared" si="14"/>
        <v>994477.99053645961</v>
      </c>
      <c r="H41" s="456">
        <f t="shared" si="15"/>
        <v>994477.99053645961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2034</v>
      </c>
      <c r="D42" s="486">
        <f>IF(F41+SUM(E$17:E41)=D$10,F41,D$10-SUM(E$17:E41))</f>
        <v>5467148.3803774063</v>
      </c>
      <c r="E42" s="485">
        <f>IF(+I14&lt;F41,I14,D42)</f>
        <v>254579.22222222222</v>
      </c>
      <c r="F42" s="486">
        <f t="shared" si="13"/>
        <v>5212569.1581551842</v>
      </c>
      <c r="G42" s="487">
        <f t="shared" si="14"/>
        <v>960024.40708577307</v>
      </c>
      <c r="H42" s="456">
        <f t="shared" si="15"/>
        <v>960024.40708577307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2035</v>
      </c>
      <c r="D43" s="486">
        <f>IF(F42+SUM(E$17:E42)=D$10,F42,D$10-SUM(E$17:E42))</f>
        <v>5212569.1581551842</v>
      </c>
      <c r="E43" s="485">
        <f>IF(+I14&lt;F42,I14,D43)</f>
        <v>254579.22222222222</v>
      </c>
      <c r="F43" s="486">
        <f t="shared" si="13"/>
        <v>4957989.9359329622</v>
      </c>
      <c r="G43" s="487">
        <f t="shared" si="14"/>
        <v>925570.82363508653</v>
      </c>
      <c r="H43" s="456">
        <f t="shared" si="15"/>
        <v>925570.82363508653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2036</v>
      </c>
      <c r="D44" s="486">
        <f>IF(F43+SUM(E$17:E43)=D$10,F43,D$10-SUM(E$17:E43))</f>
        <v>4957989.9359329622</v>
      </c>
      <c r="E44" s="485">
        <f>IF(+I14&lt;F43,I14,D44)</f>
        <v>254579.22222222222</v>
      </c>
      <c r="F44" s="486">
        <f t="shared" si="13"/>
        <v>4703410.7137107402</v>
      </c>
      <c r="G44" s="487">
        <f t="shared" si="14"/>
        <v>891117.2401844</v>
      </c>
      <c r="H44" s="456">
        <f t="shared" si="15"/>
        <v>891117.2401844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2037</v>
      </c>
      <c r="D45" s="486">
        <f>IF(F44+SUM(E$17:E44)=D$10,F44,D$10-SUM(E$17:E44))</f>
        <v>4703410.7137107402</v>
      </c>
      <c r="E45" s="485">
        <f>IF(+I14&lt;F44,I14,D45)</f>
        <v>254579.22222222222</v>
      </c>
      <c r="F45" s="486">
        <f t="shared" si="13"/>
        <v>4448831.4914885182</v>
      </c>
      <c r="G45" s="487">
        <f t="shared" si="14"/>
        <v>856663.65673371346</v>
      </c>
      <c r="H45" s="456">
        <f t="shared" si="15"/>
        <v>856663.65673371346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2038</v>
      </c>
      <c r="D46" s="486">
        <f>IF(F45+SUM(E$17:E45)=D$10,F45,D$10-SUM(E$17:E45))</f>
        <v>4448831.4914885182</v>
      </c>
      <c r="E46" s="485">
        <f>IF(+I14&lt;F45,I14,D46)</f>
        <v>254579.22222222222</v>
      </c>
      <c r="F46" s="486">
        <f t="shared" si="13"/>
        <v>4194252.2692662962</v>
      </c>
      <c r="G46" s="487">
        <f t="shared" si="14"/>
        <v>822210.07328302704</v>
      </c>
      <c r="H46" s="456">
        <f t="shared" si="15"/>
        <v>822210.07328302704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2039</v>
      </c>
      <c r="D47" s="486">
        <f>IF(F46+SUM(E$17:E46)=D$10,F46,D$10-SUM(E$17:E46))</f>
        <v>4194252.2692662962</v>
      </c>
      <c r="E47" s="485">
        <f>IF(+I14&lt;F46,I14,D47)</f>
        <v>254579.22222222222</v>
      </c>
      <c r="F47" s="486">
        <f t="shared" si="13"/>
        <v>3939673.0470440742</v>
      </c>
      <c r="G47" s="487">
        <f t="shared" si="14"/>
        <v>787756.48983234051</v>
      </c>
      <c r="H47" s="456">
        <f t="shared" si="15"/>
        <v>787756.48983234051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2040</v>
      </c>
      <c r="D48" s="486">
        <f>IF(F47+SUM(E$17:E47)=D$10,F47,D$10-SUM(E$17:E47))</f>
        <v>3939673.0470440742</v>
      </c>
      <c r="E48" s="485">
        <f>IF(+I14&lt;F47,I14,D48)</f>
        <v>254579.22222222222</v>
      </c>
      <c r="F48" s="486">
        <f t="shared" si="13"/>
        <v>3685093.8248218521</v>
      </c>
      <c r="G48" s="487">
        <f t="shared" si="14"/>
        <v>753302.90638165397</v>
      </c>
      <c r="H48" s="456">
        <f t="shared" si="15"/>
        <v>753302.90638165397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2041</v>
      </c>
      <c r="D49" s="486">
        <f>IF(F48+SUM(E$17:E48)=D$10,F48,D$10-SUM(E$17:E48))</f>
        <v>3685093.8248218521</v>
      </c>
      <c r="E49" s="485">
        <f>IF(+I14&lt;F48,I14,D49)</f>
        <v>254579.22222222222</v>
      </c>
      <c r="F49" s="486">
        <f t="shared" si="13"/>
        <v>3430514.6025996301</v>
      </c>
      <c r="G49" s="487">
        <f t="shared" si="14"/>
        <v>718849.32293096744</v>
      </c>
      <c r="H49" s="456">
        <f t="shared" si="15"/>
        <v>718849.32293096744</v>
      </c>
      <c r="I49" s="476">
        <f t="shared" ref="I49:I72" si="16">H303-G303</f>
        <v>0</v>
      </c>
      <c r="J49" s="476"/>
      <c r="K49" s="488"/>
      <c r="L49" s="479">
        <f t="shared" ref="L49:L72" si="17">IF(K303&lt;&gt;0,+G303-K303,0)</f>
        <v>0</v>
      </c>
      <c r="M49" s="488"/>
      <c r="N49" s="479">
        <f t="shared" ref="N49:N72" si="18">IF(M303&lt;&gt;0,+H303-M303,0)</f>
        <v>0</v>
      </c>
      <c r="O49" s="479">
        <f t="shared" ref="O49:O72" si="19">+N303-L303</f>
        <v>0</v>
      </c>
      <c r="P49" s="243"/>
    </row>
    <row r="50" spans="2:16" ht="12.5">
      <c r="B50" s="160" t="str">
        <f t="shared" si="6"/>
        <v/>
      </c>
      <c r="C50" s="473">
        <f>IF(D11="","-",+C49+1)</f>
        <v>2042</v>
      </c>
      <c r="D50" s="486">
        <f>IF(F49+SUM(E$17:E49)=D$10,F49,D$10-SUM(E$17:E49))</f>
        <v>3430514.6025996301</v>
      </c>
      <c r="E50" s="485">
        <f>IF(+I14&lt;F49,I14,D50)</f>
        <v>254579.22222222222</v>
      </c>
      <c r="F50" s="486">
        <f t="shared" si="13"/>
        <v>3175935.3803774081</v>
      </c>
      <c r="G50" s="487">
        <f t="shared" si="14"/>
        <v>684395.7394802809</v>
      </c>
      <c r="H50" s="456">
        <f t="shared" si="15"/>
        <v>684395.7394802809</v>
      </c>
      <c r="I50" s="476">
        <f t="shared" si="16"/>
        <v>0</v>
      </c>
      <c r="J50" s="476"/>
      <c r="K50" s="488"/>
      <c r="L50" s="479">
        <f t="shared" si="17"/>
        <v>0</v>
      </c>
      <c r="M50" s="488"/>
      <c r="N50" s="479">
        <f t="shared" si="18"/>
        <v>0</v>
      </c>
      <c r="O50" s="479">
        <f t="shared" si="19"/>
        <v>0</v>
      </c>
      <c r="P50" s="243"/>
    </row>
    <row r="51" spans="2:16" ht="12.5">
      <c r="B51" s="160" t="str">
        <f t="shared" si="6"/>
        <v/>
      </c>
      <c r="C51" s="473">
        <f>IF(D11="","-",+C50+1)</f>
        <v>2043</v>
      </c>
      <c r="D51" s="486">
        <f>IF(F50+SUM(E$17:E50)=D$10,F50,D$10-SUM(E$17:E50))</f>
        <v>3175935.3803774081</v>
      </c>
      <c r="E51" s="485">
        <f>IF(+I14&lt;F50,I14,D51)</f>
        <v>254579.22222222222</v>
      </c>
      <c r="F51" s="486">
        <f t="shared" si="13"/>
        <v>2921356.1581551861</v>
      </c>
      <c r="G51" s="487">
        <f t="shared" si="14"/>
        <v>649942.15602959436</v>
      </c>
      <c r="H51" s="456">
        <f t="shared" si="15"/>
        <v>649942.15602959436</v>
      </c>
      <c r="I51" s="476">
        <f t="shared" si="16"/>
        <v>0</v>
      </c>
      <c r="J51" s="476"/>
      <c r="K51" s="488"/>
      <c r="L51" s="479">
        <f t="shared" si="17"/>
        <v>0</v>
      </c>
      <c r="M51" s="488"/>
      <c r="N51" s="479">
        <f t="shared" si="18"/>
        <v>0</v>
      </c>
      <c r="O51" s="479">
        <f t="shared" si="19"/>
        <v>0</v>
      </c>
      <c r="P51" s="243"/>
    </row>
    <row r="52" spans="2:16" ht="12.5">
      <c r="B52" s="160" t="str">
        <f t="shared" si="6"/>
        <v/>
      </c>
      <c r="C52" s="473">
        <f>IF(D11="","-",+C51+1)</f>
        <v>2044</v>
      </c>
      <c r="D52" s="486">
        <f>IF(F51+SUM(E$17:E51)=D$10,F51,D$10-SUM(E$17:E51))</f>
        <v>2921356.1581551861</v>
      </c>
      <c r="E52" s="485">
        <f>IF(+I14&lt;F51,I14,D52)</f>
        <v>254579.22222222222</v>
      </c>
      <c r="F52" s="486">
        <f t="shared" si="13"/>
        <v>2666776.9359329641</v>
      </c>
      <c r="G52" s="487">
        <f t="shared" si="14"/>
        <v>615488.57257890783</v>
      </c>
      <c r="H52" s="456">
        <f t="shared" si="15"/>
        <v>615488.57257890783</v>
      </c>
      <c r="I52" s="476">
        <f t="shared" si="16"/>
        <v>0</v>
      </c>
      <c r="J52" s="476"/>
      <c r="K52" s="488"/>
      <c r="L52" s="479">
        <f t="shared" si="17"/>
        <v>0</v>
      </c>
      <c r="M52" s="488"/>
      <c r="N52" s="479">
        <f t="shared" si="18"/>
        <v>0</v>
      </c>
      <c r="O52" s="479">
        <f t="shared" si="19"/>
        <v>0</v>
      </c>
      <c r="P52" s="243"/>
    </row>
    <row r="53" spans="2:16" ht="12.5">
      <c r="B53" s="160" t="str">
        <f t="shared" si="6"/>
        <v/>
      </c>
      <c r="C53" s="473">
        <f>IF(D11="","-",+C52+1)</f>
        <v>2045</v>
      </c>
      <c r="D53" s="486">
        <f>IF(F52+SUM(E$17:E52)=D$10,F52,D$10-SUM(E$17:E52))</f>
        <v>2666776.9359329641</v>
      </c>
      <c r="E53" s="485">
        <f>IF(+I14&lt;F52,I14,D53)</f>
        <v>254579.22222222222</v>
      </c>
      <c r="F53" s="486">
        <f t="shared" si="13"/>
        <v>2412197.7137107421</v>
      </c>
      <c r="G53" s="487">
        <f t="shared" si="14"/>
        <v>581034.98912822141</v>
      </c>
      <c r="H53" s="456">
        <f t="shared" si="15"/>
        <v>581034.98912822141</v>
      </c>
      <c r="I53" s="476">
        <f t="shared" si="16"/>
        <v>0</v>
      </c>
      <c r="J53" s="476"/>
      <c r="K53" s="488"/>
      <c r="L53" s="479">
        <f t="shared" si="17"/>
        <v>0</v>
      </c>
      <c r="M53" s="488"/>
      <c r="N53" s="479">
        <f t="shared" si="18"/>
        <v>0</v>
      </c>
      <c r="O53" s="479">
        <f t="shared" si="19"/>
        <v>0</v>
      </c>
      <c r="P53" s="243"/>
    </row>
    <row r="54" spans="2:16" ht="12.5">
      <c r="B54" s="160" t="str">
        <f t="shared" si="6"/>
        <v/>
      </c>
      <c r="C54" s="473">
        <f>IF(D11="","-",+C53+1)</f>
        <v>2046</v>
      </c>
      <c r="D54" s="486">
        <f>IF(F53+SUM(E$17:E53)=D$10,F53,D$10-SUM(E$17:E53))</f>
        <v>2412197.7137107421</v>
      </c>
      <c r="E54" s="485">
        <f>IF(+I14&lt;F53,I14,D54)</f>
        <v>254579.22222222222</v>
      </c>
      <c r="F54" s="486">
        <f t="shared" si="13"/>
        <v>2157618.4914885201</v>
      </c>
      <c r="G54" s="487">
        <f t="shared" si="14"/>
        <v>546581.40567753487</v>
      </c>
      <c r="H54" s="456">
        <f t="shared" si="15"/>
        <v>546581.40567753487</v>
      </c>
      <c r="I54" s="476">
        <f t="shared" si="16"/>
        <v>0</v>
      </c>
      <c r="J54" s="476"/>
      <c r="K54" s="488"/>
      <c r="L54" s="479">
        <f t="shared" si="17"/>
        <v>0</v>
      </c>
      <c r="M54" s="488"/>
      <c r="N54" s="479">
        <f t="shared" si="18"/>
        <v>0</v>
      </c>
      <c r="O54" s="479">
        <f t="shared" si="19"/>
        <v>0</v>
      </c>
      <c r="P54" s="243"/>
    </row>
    <row r="55" spans="2:16" ht="12.5">
      <c r="B55" s="160" t="str">
        <f t="shared" si="6"/>
        <v/>
      </c>
      <c r="C55" s="473">
        <f>IF(D11="","-",+C54+1)</f>
        <v>2047</v>
      </c>
      <c r="D55" s="486">
        <f>IF(F54+SUM(E$17:E54)=D$10,F54,D$10-SUM(E$17:E54))</f>
        <v>2157618.4914885201</v>
      </c>
      <c r="E55" s="485">
        <f>IF(+I14&lt;F54,I14,D55)</f>
        <v>254579.22222222222</v>
      </c>
      <c r="F55" s="486">
        <f t="shared" si="13"/>
        <v>1903039.2692662978</v>
      </c>
      <c r="G55" s="487">
        <f t="shared" si="14"/>
        <v>512127.82222684834</v>
      </c>
      <c r="H55" s="456">
        <f t="shared" si="15"/>
        <v>512127.82222684834</v>
      </c>
      <c r="I55" s="476">
        <f t="shared" si="16"/>
        <v>0</v>
      </c>
      <c r="J55" s="476"/>
      <c r="K55" s="488"/>
      <c r="L55" s="479">
        <f t="shared" si="17"/>
        <v>0</v>
      </c>
      <c r="M55" s="488"/>
      <c r="N55" s="479">
        <f t="shared" si="18"/>
        <v>0</v>
      </c>
      <c r="O55" s="479">
        <f t="shared" si="19"/>
        <v>0</v>
      </c>
      <c r="P55" s="243"/>
    </row>
    <row r="56" spans="2:16" ht="12.5">
      <c r="B56" s="160" t="str">
        <f t="shared" si="6"/>
        <v/>
      </c>
      <c r="C56" s="473">
        <f>IF(D11="","-",+C55+1)</f>
        <v>2048</v>
      </c>
      <c r="D56" s="486">
        <f>IF(F55+SUM(E$17:E55)=D$10,F55,D$10-SUM(E$17:E55))</f>
        <v>1903039.2692662978</v>
      </c>
      <c r="E56" s="485">
        <f>IF(+I14&lt;F55,I14,D56)</f>
        <v>254579.22222222222</v>
      </c>
      <c r="F56" s="486">
        <f t="shared" si="13"/>
        <v>1648460.0470440756</v>
      </c>
      <c r="G56" s="487">
        <f t="shared" si="14"/>
        <v>477674.2387761618</v>
      </c>
      <c r="H56" s="456">
        <f t="shared" si="15"/>
        <v>477674.2387761618</v>
      </c>
      <c r="I56" s="476">
        <f t="shared" si="16"/>
        <v>0</v>
      </c>
      <c r="J56" s="476"/>
      <c r="K56" s="488"/>
      <c r="L56" s="479">
        <f t="shared" si="17"/>
        <v>0</v>
      </c>
      <c r="M56" s="488"/>
      <c r="N56" s="479">
        <f t="shared" si="18"/>
        <v>0</v>
      </c>
      <c r="O56" s="479">
        <f t="shared" si="19"/>
        <v>0</v>
      </c>
      <c r="P56" s="243"/>
    </row>
    <row r="57" spans="2:16" ht="12.5">
      <c r="B57" s="160" t="str">
        <f t="shared" si="6"/>
        <v/>
      </c>
      <c r="C57" s="473">
        <f>IF(D11="","-",+C56+1)</f>
        <v>2049</v>
      </c>
      <c r="D57" s="486">
        <f>IF(F56+SUM(E$17:E56)=D$10,F56,D$10-SUM(E$17:E56))</f>
        <v>1648460.0470440756</v>
      </c>
      <c r="E57" s="485">
        <f>IF(+I14&lt;F56,I14,D57)</f>
        <v>254579.22222222222</v>
      </c>
      <c r="F57" s="486">
        <f t="shared" si="13"/>
        <v>1393880.8248218533</v>
      </c>
      <c r="G57" s="487">
        <f t="shared" si="14"/>
        <v>443220.65532547521</v>
      </c>
      <c r="H57" s="456">
        <f t="shared" si="15"/>
        <v>443220.65532547521</v>
      </c>
      <c r="I57" s="476">
        <f t="shared" si="16"/>
        <v>0</v>
      </c>
      <c r="J57" s="476"/>
      <c r="K57" s="488"/>
      <c r="L57" s="479">
        <f t="shared" si="17"/>
        <v>0</v>
      </c>
      <c r="M57" s="488"/>
      <c r="N57" s="479">
        <f t="shared" si="18"/>
        <v>0</v>
      </c>
      <c r="O57" s="479">
        <f t="shared" si="19"/>
        <v>0</v>
      </c>
      <c r="P57" s="243"/>
    </row>
    <row r="58" spans="2:16" ht="12.5">
      <c r="B58" s="160" t="str">
        <f t="shared" si="6"/>
        <v/>
      </c>
      <c r="C58" s="473">
        <f>IF(D11="","-",+C57+1)</f>
        <v>2050</v>
      </c>
      <c r="D58" s="486">
        <f>IF(F57+SUM(E$17:E57)=D$10,F57,D$10-SUM(E$17:E57))</f>
        <v>1393880.8248218533</v>
      </c>
      <c r="E58" s="485">
        <f>IF(+I14&lt;F57,I14,D58)</f>
        <v>254579.22222222222</v>
      </c>
      <c r="F58" s="486">
        <f t="shared" si="13"/>
        <v>1139301.6025996311</v>
      </c>
      <c r="G58" s="487">
        <f t="shared" si="14"/>
        <v>408767.07187478867</v>
      </c>
      <c r="H58" s="456">
        <f t="shared" si="15"/>
        <v>408767.07187478867</v>
      </c>
      <c r="I58" s="476">
        <f t="shared" si="16"/>
        <v>0</v>
      </c>
      <c r="J58" s="476"/>
      <c r="K58" s="488"/>
      <c r="L58" s="479">
        <f t="shared" si="17"/>
        <v>0</v>
      </c>
      <c r="M58" s="488"/>
      <c r="N58" s="479">
        <f t="shared" si="18"/>
        <v>0</v>
      </c>
      <c r="O58" s="479">
        <f t="shared" si="19"/>
        <v>0</v>
      </c>
      <c r="P58" s="243"/>
    </row>
    <row r="59" spans="2:16" ht="12.5">
      <c r="B59" s="160" t="str">
        <f t="shared" si="6"/>
        <v/>
      </c>
      <c r="C59" s="473">
        <f>IF(D11="","-",+C58+1)</f>
        <v>2051</v>
      </c>
      <c r="D59" s="486">
        <f>IF(F58+SUM(E$17:E58)=D$10,F58,D$10-SUM(E$17:E58))</f>
        <v>1139301.6025996311</v>
      </c>
      <c r="E59" s="485">
        <f>IF(+I14&lt;F58,I14,D59)</f>
        <v>254579.22222222222</v>
      </c>
      <c r="F59" s="486">
        <f t="shared" si="13"/>
        <v>884722.38037740882</v>
      </c>
      <c r="G59" s="487">
        <f t="shared" si="14"/>
        <v>374313.48842410214</v>
      </c>
      <c r="H59" s="456">
        <f t="shared" si="15"/>
        <v>374313.48842410214</v>
      </c>
      <c r="I59" s="476">
        <f t="shared" si="16"/>
        <v>0</v>
      </c>
      <c r="J59" s="476"/>
      <c r="K59" s="488"/>
      <c r="L59" s="479">
        <f t="shared" si="17"/>
        <v>0</v>
      </c>
      <c r="M59" s="488"/>
      <c r="N59" s="479">
        <f t="shared" si="18"/>
        <v>0</v>
      </c>
      <c r="O59" s="479">
        <f t="shared" si="19"/>
        <v>0</v>
      </c>
      <c r="P59" s="243"/>
    </row>
    <row r="60" spans="2:16" ht="12.5">
      <c r="B60" s="160" t="str">
        <f t="shared" si="6"/>
        <v/>
      </c>
      <c r="C60" s="473">
        <f>IF(D11="","-",+C59+1)</f>
        <v>2052</v>
      </c>
      <c r="D60" s="486">
        <f>IF(F59+SUM(E$17:E59)=D$10,F59,D$10-SUM(E$17:E59))</f>
        <v>884722.38037740882</v>
      </c>
      <c r="E60" s="485">
        <f>IF(+I14&lt;F59,I14,D60)</f>
        <v>254579.22222222222</v>
      </c>
      <c r="F60" s="486">
        <f t="shared" si="13"/>
        <v>630143.15815518657</v>
      </c>
      <c r="G60" s="487">
        <f t="shared" si="14"/>
        <v>339859.9049734156</v>
      </c>
      <c r="H60" s="456">
        <f t="shared" si="15"/>
        <v>339859.9049734156</v>
      </c>
      <c r="I60" s="476">
        <f t="shared" si="16"/>
        <v>0</v>
      </c>
      <c r="J60" s="476"/>
      <c r="K60" s="488"/>
      <c r="L60" s="479">
        <f t="shared" si="17"/>
        <v>0</v>
      </c>
      <c r="M60" s="488"/>
      <c r="N60" s="479">
        <f t="shared" si="18"/>
        <v>0</v>
      </c>
      <c r="O60" s="479">
        <f t="shared" si="19"/>
        <v>0</v>
      </c>
      <c r="P60" s="243"/>
    </row>
    <row r="61" spans="2:16" ht="12.5">
      <c r="B61" s="160" t="str">
        <f t="shared" si="6"/>
        <v/>
      </c>
      <c r="C61" s="473">
        <f>IF(D11="","-",+C60+1)</f>
        <v>2053</v>
      </c>
      <c r="D61" s="486">
        <f>IF(F60+SUM(E$17:E60)=D$10,F60,D$10-SUM(E$17:E60))</f>
        <v>630143.15815518657</v>
      </c>
      <c r="E61" s="485">
        <f>IF(+I14&lt;F60,I14,D61)</f>
        <v>254579.22222222222</v>
      </c>
      <c r="F61" s="486">
        <f t="shared" si="13"/>
        <v>375563.93593296432</v>
      </c>
      <c r="G61" s="489">
        <f t="shared" si="14"/>
        <v>305406.32152272901</v>
      </c>
      <c r="H61" s="456">
        <f t="shared" si="15"/>
        <v>305406.32152272901</v>
      </c>
      <c r="I61" s="476">
        <f t="shared" si="16"/>
        <v>0</v>
      </c>
      <c r="J61" s="476"/>
      <c r="K61" s="488"/>
      <c r="L61" s="479">
        <f t="shared" si="17"/>
        <v>0</v>
      </c>
      <c r="M61" s="488"/>
      <c r="N61" s="479">
        <f t="shared" si="18"/>
        <v>0</v>
      </c>
      <c r="O61" s="479">
        <f t="shared" si="19"/>
        <v>0</v>
      </c>
      <c r="P61" s="243"/>
    </row>
    <row r="62" spans="2:16" ht="12.5">
      <c r="B62" s="160" t="str">
        <f t="shared" si="6"/>
        <v/>
      </c>
      <c r="C62" s="473">
        <f>IF(D11="","-",+C61+1)</f>
        <v>2054</v>
      </c>
      <c r="D62" s="486">
        <f>IF(F61+SUM(E$17:E61)=D$10,F61,D$10-SUM(E$17:E61))</f>
        <v>375563.93593296432</v>
      </c>
      <c r="E62" s="485">
        <f>IF(+I14&lt;F61,I14,D62)</f>
        <v>254579.22222222222</v>
      </c>
      <c r="F62" s="486">
        <f t="shared" si="13"/>
        <v>120984.7137107421</v>
      </c>
      <c r="G62" s="489">
        <f t="shared" si="14"/>
        <v>270952.73807204247</v>
      </c>
      <c r="H62" s="456">
        <f t="shared" si="15"/>
        <v>270952.73807204247</v>
      </c>
      <c r="I62" s="476">
        <f t="shared" si="16"/>
        <v>0</v>
      </c>
      <c r="J62" s="476"/>
      <c r="K62" s="488"/>
      <c r="L62" s="479">
        <f t="shared" si="17"/>
        <v>0</v>
      </c>
      <c r="M62" s="488"/>
      <c r="N62" s="479">
        <f t="shared" si="18"/>
        <v>0</v>
      </c>
      <c r="O62" s="479">
        <f t="shared" si="19"/>
        <v>0</v>
      </c>
      <c r="P62" s="243"/>
    </row>
    <row r="63" spans="2:16" ht="12.5">
      <c r="B63" s="160" t="str">
        <f t="shared" si="6"/>
        <v/>
      </c>
      <c r="C63" s="473">
        <f>IF(D11="","-",+C62+1)</f>
        <v>2055</v>
      </c>
      <c r="D63" s="486">
        <f>IF(F62+SUM(E$17:E62)=D$10,F62,D$10-SUM(E$17:E62))</f>
        <v>120984.7137107421</v>
      </c>
      <c r="E63" s="485">
        <f>IF(+I14&lt;F62,I14,D63)</f>
        <v>120984.7137107421</v>
      </c>
      <c r="F63" s="486">
        <f t="shared" si="13"/>
        <v>0</v>
      </c>
      <c r="G63" s="489">
        <f t="shared" si="14"/>
        <v>120984.7137107421</v>
      </c>
      <c r="H63" s="456">
        <f t="shared" si="15"/>
        <v>120984.7137107421</v>
      </c>
      <c r="I63" s="476">
        <f t="shared" si="16"/>
        <v>0</v>
      </c>
      <c r="J63" s="476"/>
      <c r="K63" s="488"/>
      <c r="L63" s="479">
        <f t="shared" si="17"/>
        <v>0</v>
      </c>
      <c r="M63" s="488"/>
      <c r="N63" s="479">
        <f t="shared" si="18"/>
        <v>0</v>
      </c>
      <c r="O63" s="479">
        <f t="shared" si="19"/>
        <v>0</v>
      </c>
      <c r="P63" s="243"/>
    </row>
    <row r="64" spans="2:16" ht="12.5">
      <c r="B64" s="160" t="str">
        <f t="shared" si="6"/>
        <v/>
      </c>
      <c r="C64" s="473">
        <f>IF(D11="","-",+C63+1)</f>
        <v>2056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3"/>
        <v>0</v>
      </c>
      <c r="G64" s="489">
        <f t="shared" si="14"/>
        <v>0</v>
      </c>
      <c r="H64" s="456">
        <f t="shared" si="15"/>
        <v>0</v>
      </c>
      <c r="I64" s="476">
        <f t="shared" si="16"/>
        <v>0</v>
      </c>
      <c r="J64" s="476"/>
      <c r="K64" s="488"/>
      <c r="L64" s="479">
        <f t="shared" si="17"/>
        <v>0</v>
      </c>
      <c r="M64" s="488"/>
      <c r="N64" s="479">
        <f t="shared" si="18"/>
        <v>0</v>
      </c>
      <c r="O64" s="479">
        <f t="shared" si="19"/>
        <v>0</v>
      </c>
      <c r="P64" s="243"/>
    </row>
    <row r="65" spans="2:16" ht="12.5">
      <c r="B65" s="160" t="str">
        <f t="shared" si="6"/>
        <v/>
      </c>
      <c r="C65" s="473">
        <f>IF(D11="","-",+C64+1)</f>
        <v>2057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3"/>
        <v>0</v>
      </c>
      <c r="G65" s="489">
        <f t="shared" si="14"/>
        <v>0</v>
      </c>
      <c r="H65" s="456">
        <f t="shared" si="15"/>
        <v>0</v>
      </c>
      <c r="I65" s="476">
        <f t="shared" si="16"/>
        <v>0</v>
      </c>
      <c r="J65" s="476"/>
      <c r="K65" s="488"/>
      <c r="L65" s="479">
        <f t="shared" si="17"/>
        <v>0</v>
      </c>
      <c r="M65" s="488"/>
      <c r="N65" s="479">
        <f t="shared" si="18"/>
        <v>0</v>
      </c>
      <c r="O65" s="479">
        <f t="shared" si="19"/>
        <v>0</v>
      </c>
      <c r="P65" s="243"/>
    </row>
    <row r="66" spans="2:16" ht="12.5">
      <c r="B66" s="160" t="str">
        <f t="shared" si="6"/>
        <v/>
      </c>
      <c r="C66" s="473">
        <f>IF(D11="","-",+C65+1)</f>
        <v>2058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3"/>
        <v>0</v>
      </c>
      <c r="G66" s="489">
        <f t="shared" si="14"/>
        <v>0</v>
      </c>
      <c r="H66" s="456">
        <f t="shared" si="15"/>
        <v>0</v>
      </c>
      <c r="I66" s="476">
        <f t="shared" si="16"/>
        <v>0</v>
      </c>
      <c r="J66" s="476"/>
      <c r="K66" s="488"/>
      <c r="L66" s="479">
        <f t="shared" si="17"/>
        <v>0</v>
      </c>
      <c r="M66" s="488"/>
      <c r="N66" s="479">
        <f t="shared" si="18"/>
        <v>0</v>
      </c>
      <c r="O66" s="479">
        <f t="shared" si="19"/>
        <v>0</v>
      </c>
      <c r="P66" s="243"/>
    </row>
    <row r="67" spans="2:16" ht="12.5">
      <c r="B67" s="160" t="str">
        <f t="shared" si="6"/>
        <v/>
      </c>
      <c r="C67" s="473">
        <f>IF(D11="","-",+C66+1)</f>
        <v>2059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3"/>
        <v>0</v>
      </c>
      <c r="G67" s="489">
        <f t="shared" si="14"/>
        <v>0</v>
      </c>
      <c r="H67" s="456">
        <f t="shared" si="15"/>
        <v>0</v>
      </c>
      <c r="I67" s="476">
        <f t="shared" si="16"/>
        <v>0</v>
      </c>
      <c r="J67" s="476"/>
      <c r="K67" s="488"/>
      <c r="L67" s="479">
        <f t="shared" si="17"/>
        <v>0</v>
      </c>
      <c r="M67" s="488"/>
      <c r="N67" s="479">
        <f t="shared" si="18"/>
        <v>0</v>
      </c>
      <c r="O67" s="479">
        <f t="shared" si="19"/>
        <v>0</v>
      </c>
      <c r="P67" s="243"/>
    </row>
    <row r="68" spans="2:16" ht="12.5">
      <c r="B68" s="160" t="str">
        <f t="shared" si="6"/>
        <v/>
      </c>
      <c r="C68" s="473">
        <f>IF(D11="","-",+C67+1)</f>
        <v>2060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3"/>
        <v>0</v>
      </c>
      <c r="G68" s="489">
        <f t="shared" si="14"/>
        <v>0</v>
      </c>
      <c r="H68" s="456">
        <f t="shared" si="15"/>
        <v>0</v>
      </c>
      <c r="I68" s="476">
        <f t="shared" si="16"/>
        <v>0</v>
      </c>
      <c r="J68" s="476"/>
      <c r="K68" s="488"/>
      <c r="L68" s="479">
        <f t="shared" si="17"/>
        <v>0</v>
      </c>
      <c r="M68" s="488"/>
      <c r="N68" s="479">
        <f t="shared" si="18"/>
        <v>0</v>
      </c>
      <c r="O68" s="479">
        <f t="shared" si="19"/>
        <v>0</v>
      </c>
      <c r="P68" s="243"/>
    </row>
    <row r="69" spans="2:16" ht="12.5">
      <c r="B69" s="160" t="str">
        <f t="shared" si="6"/>
        <v/>
      </c>
      <c r="C69" s="473">
        <f>IF(D11="","-",+C68+1)</f>
        <v>2061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3"/>
        <v>0</v>
      </c>
      <c r="G69" s="489">
        <f t="shared" si="14"/>
        <v>0</v>
      </c>
      <c r="H69" s="456">
        <f t="shared" si="15"/>
        <v>0</v>
      </c>
      <c r="I69" s="476">
        <f t="shared" si="16"/>
        <v>0</v>
      </c>
      <c r="J69" s="476"/>
      <c r="K69" s="488"/>
      <c r="L69" s="479">
        <f t="shared" si="17"/>
        <v>0</v>
      </c>
      <c r="M69" s="488"/>
      <c r="N69" s="479">
        <f t="shared" si="18"/>
        <v>0</v>
      </c>
      <c r="O69" s="479">
        <f t="shared" si="19"/>
        <v>0</v>
      </c>
      <c r="P69" s="243"/>
    </row>
    <row r="70" spans="2:16" ht="12.5">
      <c r="B70" s="160" t="str">
        <f t="shared" si="6"/>
        <v/>
      </c>
      <c r="C70" s="473">
        <f>IF(D11="","-",+C69+1)</f>
        <v>2062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3"/>
        <v>0</v>
      </c>
      <c r="G70" s="489">
        <f t="shared" si="14"/>
        <v>0</v>
      </c>
      <c r="H70" s="456">
        <f t="shared" si="15"/>
        <v>0</v>
      </c>
      <c r="I70" s="476">
        <f t="shared" si="16"/>
        <v>0</v>
      </c>
      <c r="J70" s="476"/>
      <c r="K70" s="488"/>
      <c r="L70" s="479">
        <f t="shared" si="17"/>
        <v>0</v>
      </c>
      <c r="M70" s="488"/>
      <c r="N70" s="479">
        <f t="shared" si="18"/>
        <v>0</v>
      </c>
      <c r="O70" s="479">
        <f t="shared" si="19"/>
        <v>0</v>
      </c>
      <c r="P70" s="243"/>
    </row>
    <row r="71" spans="2:16" ht="12.5">
      <c r="B71" s="160" t="str">
        <f t="shared" si="6"/>
        <v/>
      </c>
      <c r="C71" s="473">
        <f>IF(D11="","-",+C70+1)</f>
        <v>2063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3"/>
        <v>0</v>
      </c>
      <c r="G71" s="489">
        <f t="shared" si="14"/>
        <v>0</v>
      </c>
      <c r="H71" s="456">
        <f t="shared" si="15"/>
        <v>0</v>
      </c>
      <c r="I71" s="476">
        <f t="shared" si="16"/>
        <v>0</v>
      </c>
      <c r="J71" s="476"/>
      <c r="K71" s="488"/>
      <c r="L71" s="479">
        <f t="shared" si="17"/>
        <v>0</v>
      </c>
      <c r="M71" s="488"/>
      <c r="N71" s="479">
        <f t="shared" si="18"/>
        <v>0</v>
      </c>
      <c r="O71" s="479">
        <f t="shared" si="19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2064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3"/>
        <v>0</v>
      </c>
      <c r="G72" s="493">
        <f t="shared" si="14"/>
        <v>0</v>
      </c>
      <c r="H72" s="436">
        <f t="shared" si="15"/>
        <v>0</v>
      </c>
      <c r="I72" s="494">
        <f t="shared" si="16"/>
        <v>0</v>
      </c>
      <c r="J72" s="476"/>
      <c r="K72" s="495"/>
      <c r="L72" s="496">
        <f t="shared" si="17"/>
        <v>0</v>
      </c>
      <c r="M72" s="495"/>
      <c r="N72" s="496">
        <f t="shared" si="18"/>
        <v>0</v>
      </c>
      <c r="O72" s="496">
        <f t="shared" si="19"/>
        <v>0</v>
      </c>
      <c r="P72" s="243"/>
    </row>
    <row r="73" spans="2:16" ht="12.5">
      <c r="C73" s="347" t="s">
        <v>77</v>
      </c>
      <c r="D73" s="348"/>
      <c r="E73" s="348">
        <f>SUM(E17:E72)</f>
        <v>11456065</v>
      </c>
      <c r="F73" s="348"/>
      <c r="G73" s="348">
        <f>SUM(G17:G72)</f>
        <v>47238310.16110757</v>
      </c>
      <c r="H73" s="348">
        <f>SUM(H17:H72)</f>
        <v>47238310.16110757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3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1310790.7332032048</v>
      </c>
      <c r="N87" s="509">
        <f>IF(J92&lt;D11,0,VLOOKUP(J92,C17:O72,11))</f>
        <v>1310790.7332032048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1221816.3299613127</v>
      </c>
      <c r="N88" s="513">
        <f>IF(J92&lt;D11,0,VLOOKUP(J92,C99:P154,7))</f>
        <v>1221816.3299613127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WFEC New 138 kV Ties: Sayre to Erick (WFEC) Line &amp; Atoka and Tupelo station work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-88974.403241892112</v>
      </c>
      <c r="N89" s="518">
        <f>+N88-N87</f>
        <v>-88974.403241892112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TP2006054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11456065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10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279416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2009</v>
      </c>
      <c r="D99" s="474">
        <v>0</v>
      </c>
      <c r="E99" s="481">
        <v>26281</v>
      </c>
      <c r="F99" s="480">
        <v>8804059</v>
      </c>
      <c r="G99" s="538">
        <v>4402030</v>
      </c>
      <c r="H99" s="539">
        <v>669894</v>
      </c>
      <c r="I99" s="540">
        <v>669894</v>
      </c>
      <c r="J99" s="479">
        <f t="shared" ref="J99:J130" si="20">+I99-H99</f>
        <v>0</v>
      </c>
      <c r="K99" s="479"/>
      <c r="L99" s="555">
        <f t="shared" ref="L99:L104" si="21">H99</f>
        <v>669894</v>
      </c>
      <c r="M99" s="478">
        <f t="shared" ref="M99:M130" si="22">IF(L99&lt;&gt;0,+H99-L99,0)</f>
        <v>0</v>
      </c>
      <c r="N99" s="555">
        <f t="shared" ref="N99:N104" si="23">I99</f>
        <v>669894</v>
      </c>
      <c r="O99" s="478">
        <f t="shared" ref="O99:O130" si="24">IF(N99&lt;&gt;0,+I99-N99,0)</f>
        <v>0</v>
      </c>
      <c r="P99" s="478">
        <f t="shared" ref="P99:P130" si="25">+O99-M99</f>
        <v>0</v>
      </c>
    </row>
    <row r="100" spans="1:16" ht="12.5">
      <c r="B100" s="160" t="str">
        <f>IF(D100=F99,"","IU")</f>
        <v>IU</v>
      </c>
      <c r="C100" s="473">
        <f>IF(D93="","-",+C99+1)</f>
        <v>2010</v>
      </c>
      <c r="D100" s="474">
        <v>12205867</v>
      </c>
      <c r="E100" s="481">
        <v>239846</v>
      </c>
      <c r="F100" s="480">
        <v>11966021</v>
      </c>
      <c r="G100" s="480">
        <v>12085944</v>
      </c>
      <c r="H100" s="481">
        <v>2183449.7644146364</v>
      </c>
      <c r="I100" s="482">
        <v>2183449.7644146364</v>
      </c>
      <c r="J100" s="479">
        <f t="shared" si="20"/>
        <v>0</v>
      </c>
      <c r="K100" s="479"/>
      <c r="L100" s="541">
        <f t="shared" si="21"/>
        <v>2183449.7644146364</v>
      </c>
      <c r="M100" s="542">
        <f t="shared" si="22"/>
        <v>0</v>
      </c>
      <c r="N100" s="541">
        <f t="shared" si="23"/>
        <v>2183449.7644146364</v>
      </c>
      <c r="O100" s="479">
        <f t="shared" si="24"/>
        <v>0</v>
      </c>
      <c r="P100" s="479">
        <f t="shared" si="25"/>
        <v>0</v>
      </c>
    </row>
    <row r="101" spans="1:16" ht="12.5">
      <c r="B101" s="160" t="str">
        <f t="shared" ref="B101:B154" si="26">IF(D101=F100,"","IU")</f>
        <v/>
      </c>
      <c r="C101" s="473">
        <f>IF(D93="","-",+C100+1)</f>
        <v>2011</v>
      </c>
      <c r="D101" s="474">
        <v>11966021</v>
      </c>
      <c r="E101" s="481">
        <v>235234</v>
      </c>
      <c r="F101" s="480">
        <v>11730787</v>
      </c>
      <c r="G101" s="480">
        <v>11848404</v>
      </c>
      <c r="H101" s="481">
        <v>1891800.0972614796</v>
      </c>
      <c r="I101" s="482">
        <v>1891800.0972614796</v>
      </c>
      <c r="J101" s="479">
        <f t="shared" si="20"/>
        <v>0</v>
      </c>
      <c r="K101" s="479"/>
      <c r="L101" s="541">
        <f t="shared" si="21"/>
        <v>1891800.0972614796</v>
      </c>
      <c r="M101" s="542">
        <f t="shared" si="22"/>
        <v>0</v>
      </c>
      <c r="N101" s="541">
        <f t="shared" si="23"/>
        <v>1891800.0972614796</v>
      </c>
      <c r="O101" s="479">
        <f t="shared" si="24"/>
        <v>0</v>
      </c>
      <c r="P101" s="479">
        <f t="shared" si="25"/>
        <v>0</v>
      </c>
    </row>
    <row r="102" spans="1:16" ht="12.5">
      <c r="B102" s="160" t="str">
        <f t="shared" si="26"/>
        <v/>
      </c>
      <c r="C102" s="473">
        <f>IF(D93="","-",+C101+1)</f>
        <v>2012</v>
      </c>
      <c r="D102" s="474">
        <v>11730787</v>
      </c>
      <c r="E102" s="481">
        <v>235234</v>
      </c>
      <c r="F102" s="480">
        <v>11495553</v>
      </c>
      <c r="G102" s="480">
        <v>11613170</v>
      </c>
      <c r="H102" s="481">
        <v>1905852.1655461292</v>
      </c>
      <c r="I102" s="482">
        <v>1905852.1655461292</v>
      </c>
      <c r="J102" s="479">
        <v>0</v>
      </c>
      <c r="K102" s="479"/>
      <c r="L102" s="541">
        <f t="shared" si="21"/>
        <v>1905852.1655461292</v>
      </c>
      <c r="M102" s="542">
        <f t="shared" ref="M102:M107" si="27">IF(L102&lt;&gt;0,+H102-L102,0)</f>
        <v>0</v>
      </c>
      <c r="N102" s="541">
        <f t="shared" si="23"/>
        <v>1905852.1655461292</v>
      </c>
      <c r="O102" s="479">
        <f t="shared" ref="O102:O107" si="28">IF(N102&lt;&gt;0,+I102-N102,0)</f>
        <v>0</v>
      </c>
      <c r="P102" s="479">
        <f t="shared" ref="P102:P107" si="29">+O102-M102</f>
        <v>0</v>
      </c>
    </row>
    <row r="103" spans="1:16" ht="12.5">
      <c r="B103" s="160" t="str">
        <f t="shared" si="26"/>
        <v/>
      </c>
      <c r="C103" s="473">
        <f>IF(D93="","-",+C102+1)</f>
        <v>2013</v>
      </c>
      <c r="D103" s="474">
        <v>11495553</v>
      </c>
      <c r="E103" s="481">
        <v>235234</v>
      </c>
      <c r="F103" s="480">
        <v>11260319</v>
      </c>
      <c r="G103" s="480">
        <v>11377936</v>
      </c>
      <c r="H103" s="481">
        <v>1872969.4877104962</v>
      </c>
      <c r="I103" s="482">
        <v>1872969.4877104962</v>
      </c>
      <c r="J103" s="479">
        <v>0</v>
      </c>
      <c r="K103" s="479"/>
      <c r="L103" s="541">
        <f t="shared" si="21"/>
        <v>1872969.4877104962</v>
      </c>
      <c r="M103" s="542">
        <f t="shared" si="27"/>
        <v>0</v>
      </c>
      <c r="N103" s="541">
        <f t="shared" si="23"/>
        <v>1872969.4877104962</v>
      </c>
      <c r="O103" s="479">
        <f t="shared" si="28"/>
        <v>0</v>
      </c>
      <c r="P103" s="479">
        <f t="shared" si="29"/>
        <v>0</v>
      </c>
    </row>
    <row r="104" spans="1:16" ht="12.5">
      <c r="B104" s="160" t="str">
        <f t="shared" si="26"/>
        <v>IU</v>
      </c>
      <c r="C104" s="473">
        <f>IF(D93="","-",+C103+1)</f>
        <v>2014</v>
      </c>
      <c r="D104" s="474">
        <v>10484236</v>
      </c>
      <c r="E104" s="481">
        <v>220309</v>
      </c>
      <c r="F104" s="480">
        <v>10263927</v>
      </c>
      <c r="G104" s="480">
        <v>10374081.5</v>
      </c>
      <c r="H104" s="481">
        <v>1678862.4521722798</v>
      </c>
      <c r="I104" s="482">
        <v>1678862.4521722798</v>
      </c>
      <c r="J104" s="479">
        <v>0</v>
      </c>
      <c r="K104" s="479"/>
      <c r="L104" s="541">
        <f t="shared" si="21"/>
        <v>1678862.4521722798</v>
      </c>
      <c r="M104" s="542">
        <f t="shared" si="27"/>
        <v>0</v>
      </c>
      <c r="N104" s="541">
        <f t="shared" si="23"/>
        <v>1678862.4521722798</v>
      </c>
      <c r="O104" s="479">
        <f t="shared" si="28"/>
        <v>0</v>
      </c>
      <c r="P104" s="479">
        <f t="shared" si="29"/>
        <v>0</v>
      </c>
    </row>
    <row r="105" spans="1:16" ht="12.5">
      <c r="B105" s="160" t="str">
        <f t="shared" si="26"/>
        <v/>
      </c>
      <c r="C105" s="473">
        <f>IF(D93="","-",+C104+1)</f>
        <v>2015</v>
      </c>
      <c r="D105" s="474">
        <v>10263927</v>
      </c>
      <c r="E105" s="481">
        <v>220309</v>
      </c>
      <c r="F105" s="480">
        <v>10043618</v>
      </c>
      <c r="G105" s="480">
        <v>10153772.5</v>
      </c>
      <c r="H105" s="481">
        <v>1605709.6172709188</v>
      </c>
      <c r="I105" s="482">
        <v>1605709.6172709188</v>
      </c>
      <c r="J105" s="479">
        <f t="shared" si="20"/>
        <v>0</v>
      </c>
      <c r="K105" s="479"/>
      <c r="L105" s="541">
        <f>H105</f>
        <v>1605709.6172709188</v>
      </c>
      <c r="M105" s="542">
        <f t="shared" si="27"/>
        <v>0</v>
      </c>
      <c r="N105" s="541">
        <f>I105</f>
        <v>1605709.6172709188</v>
      </c>
      <c r="O105" s="479">
        <f t="shared" si="28"/>
        <v>0</v>
      </c>
      <c r="P105" s="479">
        <f t="shared" si="29"/>
        <v>0</v>
      </c>
    </row>
    <row r="106" spans="1:16" ht="12.5">
      <c r="B106" s="160" t="str">
        <f t="shared" si="26"/>
        <v/>
      </c>
      <c r="C106" s="473">
        <f>IF(D93="","-",+C105+1)</f>
        <v>2016</v>
      </c>
      <c r="D106" s="474">
        <v>10043618</v>
      </c>
      <c r="E106" s="481">
        <v>249045</v>
      </c>
      <c r="F106" s="480">
        <v>9794573</v>
      </c>
      <c r="G106" s="480">
        <v>9919095.5</v>
      </c>
      <c r="H106" s="481">
        <v>1527772.6245386968</v>
      </c>
      <c r="I106" s="482">
        <v>1527772.6245386968</v>
      </c>
      <c r="J106" s="479">
        <f t="shared" si="20"/>
        <v>0</v>
      </c>
      <c r="K106" s="479"/>
      <c r="L106" s="541">
        <f>H106</f>
        <v>1527772.6245386968</v>
      </c>
      <c r="M106" s="542">
        <f t="shared" si="27"/>
        <v>0</v>
      </c>
      <c r="N106" s="541">
        <f>I106</f>
        <v>1527772.6245386968</v>
      </c>
      <c r="O106" s="479">
        <f t="shared" si="28"/>
        <v>0</v>
      </c>
      <c r="P106" s="479">
        <f t="shared" si="29"/>
        <v>0</v>
      </c>
    </row>
    <row r="107" spans="1:16" ht="12.5">
      <c r="B107" s="160" t="str">
        <f t="shared" si="26"/>
        <v/>
      </c>
      <c r="C107" s="473">
        <f>IF(D93="","-",+C106+1)</f>
        <v>2017</v>
      </c>
      <c r="D107" s="474">
        <v>9794573</v>
      </c>
      <c r="E107" s="481">
        <v>249045</v>
      </c>
      <c r="F107" s="480">
        <v>9545528</v>
      </c>
      <c r="G107" s="480">
        <v>9670050.5</v>
      </c>
      <c r="H107" s="481">
        <v>1475715.2889659985</v>
      </c>
      <c r="I107" s="482">
        <v>1475715.2889659985</v>
      </c>
      <c r="J107" s="479">
        <f t="shared" si="20"/>
        <v>0</v>
      </c>
      <c r="K107" s="479"/>
      <c r="L107" s="541">
        <f>H107</f>
        <v>1475715.2889659985</v>
      </c>
      <c r="M107" s="542">
        <f t="shared" si="27"/>
        <v>0</v>
      </c>
      <c r="N107" s="541">
        <f>I107</f>
        <v>1475715.2889659985</v>
      </c>
      <c r="O107" s="479">
        <f t="shared" si="28"/>
        <v>0</v>
      </c>
      <c r="P107" s="479">
        <f t="shared" si="29"/>
        <v>0</v>
      </c>
    </row>
    <row r="108" spans="1:16" ht="12.5">
      <c r="B108" s="160" t="str">
        <f t="shared" si="26"/>
        <v/>
      </c>
      <c r="C108" s="473">
        <f>IF(D93="","-",+C107+1)</f>
        <v>2018</v>
      </c>
      <c r="D108" s="474">
        <v>9545528</v>
      </c>
      <c r="E108" s="481">
        <v>266420</v>
      </c>
      <c r="F108" s="480">
        <v>9279108</v>
      </c>
      <c r="G108" s="480">
        <v>9412318</v>
      </c>
      <c r="H108" s="481">
        <v>1233399.824885203</v>
      </c>
      <c r="I108" s="482">
        <v>1233399.824885203</v>
      </c>
      <c r="J108" s="479">
        <f t="shared" si="20"/>
        <v>0</v>
      </c>
      <c r="K108" s="479"/>
      <c r="L108" s="541">
        <f>H108</f>
        <v>1233399.824885203</v>
      </c>
      <c r="M108" s="542">
        <f t="shared" ref="M108" si="30">IF(L108&lt;&gt;0,+H108-L108,0)</f>
        <v>0</v>
      </c>
      <c r="N108" s="541">
        <f>I108</f>
        <v>1233399.824885203</v>
      </c>
      <c r="O108" s="479">
        <f t="shared" ref="O108" si="31">IF(N108&lt;&gt;0,+I108-N108,0)</f>
        <v>0</v>
      </c>
      <c r="P108" s="479">
        <f t="shared" ref="P108" si="32">+O108-M108</f>
        <v>0</v>
      </c>
    </row>
    <row r="109" spans="1:16" ht="12.5">
      <c r="B109" s="160" t="str">
        <f t="shared" si="26"/>
        <v/>
      </c>
      <c r="C109" s="473">
        <f>IF(D93="","-",+C108+1)</f>
        <v>2019</v>
      </c>
      <c r="D109" s="347">
        <f>IF(F108+SUM(E$99:E108)=D$92,F108,D$92-SUM(E$99:E108))</f>
        <v>9279108</v>
      </c>
      <c r="E109" s="487">
        <f>IF(+J96&lt;F108,J96,D109)</f>
        <v>279416</v>
      </c>
      <c r="F109" s="486">
        <f t="shared" ref="F109:F130" si="33">+D109-E109</f>
        <v>8999692</v>
      </c>
      <c r="G109" s="486">
        <f t="shared" ref="G109:G130" si="34">+(F109+D109)/2</f>
        <v>9139400</v>
      </c>
      <c r="H109" s="489">
        <f t="shared" ref="H109:H154" si="35">+J$94*G109+E109</f>
        <v>1221816.3299613127</v>
      </c>
      <c r="I109" s="543">
        <f t="shared" ref="I109:I154" si="36">+J$95*G109+E109</f>
        <v>1221816.3299613127</v>
      </c>
      <c r="J109" s="479">
        <f t="shared" si="20"/>
        <v>0</v>
      </c>
      <c r="K109" s="479"/>
      <c r="L109" s="488"/>
      <c r="M109" s="479">
        <f t="shared" si="22"/>
        <v>0</v>
      </c>
      <c r="N109" s="488"/>
      <c r="O109" s="479">
        <f t="shared" si="24"/>
        <v>0</v>
      </c>
      <c r="P109" s="479">
        <f t="shared" si="25"/>
        <v>0</v>
      </c>
    </row>
    <row r="110" spans="1:16" ht="12.5">
      <c r="B110" s="160" t="str">
        <f t="shared" si="26"/>
        <v/>
      </c>
      <c r="C110" s="473">
        <f>IF(D93="","-",+C109+1)</f>
        <v>2020</v>
      </c>
      <c r="D110" s="347">
        <f>IF(F109+SUM(E$99:E109)=D$92,F109,D$92-SUM(E$99:E109))</f>
        <v>8999692</v>
      </c>
      <c r="E110" s="487">
        <f>IF(+J96&lt;F109,J96,D110)</f>
        <v>279416</v>
      </c>
      <c r="F110" s="486">
        <f t="shared" si="33"/>
        <v>8720276</v>
      </c>
      <c r="G110" s="486">
        <f t="shared" si="34"/>
        <v>8859984</v>
      </c>
      <c r="H110" s="489">
        <f t="shared" si="35"/>
        <v>1193004.6212499673</v>
      </c>
      <c r="I110" s="543">
        <f t="shared" si="36"/>
        <v>1193004.6212499673</v>
      </c>
      <c r="J110" s="479">
        <f t="shared" si="20"/>
        <v>0</v>
      </c>
      <c r="K110" s="479"/>
      <c r="L110" s="488"/>
      <c r="M110" s="479">
        <f t="shared" si="22"/>
        <v>0</v>
      </c>
      <c r="N110" s="488"/>
      <c r="O110" s="479">
        <f t="shared" si="24"/>
        <v>0</v>
      </c>
      <c r="P110" s="479">
        <f t="shared" si="25"/>
        <v>0</v>
      </c>
    </row>
    <row r="111" spans="1:16" ht="12.5">
      <c r="B111" s="160" t="str">
        <f t="shared" si="26"/>
        <v/>
      </c>
      <c r="C111" s="473">
        <f>IF(D93="","-",+C110+1)</f>
        <v>2021</v>
      </c>
      <c r="D111" s="347">
        <f>IF(F110+SUM(E$99:E110)=D$92,F110,D$92-SUM(E$99:E110))</f>
        <v>8720276</v>
      </c>
      <c r="E111" s="487">
        <f>IF(+J96&lt;F110,J96,D111)</f>
        <v>279416</v>
      </c>
      <c r="F111" s="486">
        <f t="shared" si="33"/>
        <v>8440860</v>
      </c>
      <c r="G111" s="486">
        <f t="shared" si="34"/>
        <v>8580568</v>
      </c>
      <c r="H111" s="489">
        <f t="shared" si="35"/>
        <v>1164192.912538622</v>
      </c>
      <c r="I111" s="543">
        <f t="shared" si="36"/>
        <v>1164192.912538622</v>
      </c>
      <c r="J111" s="479">
        <f t="shared" si="20"/>
        <v>0</v>
      </c>
      <c r="K111" s="479"/>
      <c r="L111" s="488"/>
      <c r="M111" s="479">
        <f t="shared" si="22"/>
        <v>0</v>
      </c>
      <c r="N111" s="488"/>
      <c r="O111" s="479">
        <f t="shared" si="24"/>
        <v>0</v>
      </c>
      <c r="P111" s="479">
        <f t="shared" si="25"/>
        <v>0</v>
      </c>
    </row>
    <row r="112" spans="1:16" ht="12.5">
      <c r="B112" s="160" t="str">
        <f t="shared" si="26"/>
        <v/>
      </c>
      <c r="C112" s="473">
        <f>IF(D93="","-",+C111+1)</f>
        <v>2022</v>
      </c>
      <c r="D112" s="347">
        <f>IF(F111+SUM(E$99:E111)=D$92,F111,D$92-SUM(E$99:E111))</f>
        <v>8440860</v>
      </c>
      <c r="E112" s="487">
        <f>IF(+J96&lt;F111,J96,D112)</f>
        <v>279416</v>
      </c>
      <c r="F112" s="486">
        <f t="shared" si="33"/>
        <v>8161444</v>
      </c>
      <c r="G112" s="486">
        <f t="shared" si="34"/>
        <v>8301152</v>
      </c>
      <c r="H112" s="489">
        <f t="shared" si="35"/>
        <v>1135381.2038272766</v>
      </c>
      <c r="I112" s="543">
        <f t="shared" si="36"/>
        <v>1135381.2038272766</v>
      </c>
      <c r="J112" s="479">
        <f t="shared" si="20"/>
        <v>0</v>
      </c>
      <c r="K112" s="479"/>
      <c r="L112" s="488"/>
      <c r="M112" s="479">
        <f t="shared" si="22"/>
        <v>0</v>
      </c>
      <c r="N112" s="488"/>
      <c r="O112" s="479">
        <f t="shared" si="24"/>
        <v>0</v>
      </c>
      <c r="P112" s="479">
        <f t="shared" si="25"/>
        <v>0</v>
      </c>
    </row>
    <row r="113" spans="2:16" ht="12.5">
      <c r="B113" s="160" t="str">
        <f t="shared" si="26"/>
        <v/>
      </c>
      <c r="C113" s="473">
        <f>IF(D93="","-",+C112+1)</f>
        <v>2023</v>
      </c>
      <c r="D113" s="347">
        <f>IF(F112+SUM(E$99:E112)=D$92,F112,D$92-SUM(E$99:E112))</f>
        <v>8161444</v>
      </c>
      <c r="E113" s="487">
        <f>IF(+J96&lt;F112,J96,D113)</f>
        <v>279416</v>
      </c>
      <c r="F113" s="486">
        <f t="shared" si="33"/>
        <v>7882028</v>
      </c>
      <c r="G113" s="486">
        <f t="shared" si="34"/>
        <v>8021736</v>
      </c>
      <c r="H113" s="489">
        <f t="shared" si="35"/>
        <v>1106569.4951159311</v>
      </c>
      <c r="I113" s="543">
        <f t="shared" si="36"/>
        <v>1106569.4951159311</v>
      </c>
      <c r="J113" s="479">
        <f t="shared" si="20"/>
        <v>0</v>
      </c>
      <c r="K113" s="479"/>
      <c r="L113" s="488"/>
      <c r="M113" s="479">
        <f t="shared" si="22"/>
        <v>0</v>
      </c>
      <c r="N113" s="488"/>
      <c r="O113" s="479">
        <f t="shared" si="24"/>
        <v>0</v>
      </c>
      <c r="P113" s="479">
        <f t="shared" si="25"/>
        <v>0</v>
      </c>
    </row>
    <row r="114" spans="2:16" ht="12.5">
      <c r="B114" s="160" t="str">
        <f t="shared" si="26"/>
        <v/>
      </c>
      <c r="C114" s="473">
        <f>IF(D93="","-",+C113+1)</f>
        <v>2024</v>
      </c>
      <c r="D114" s="347">
        <f>IF(F113+SUM(E$99:E113)=D$92,F113,D$92-SUM(E$99:E113))</f>
        <v>7882028</v>
      </c>
      <c r="E114" s="487">
        <f>IF(+J96&lt;F113,J96,D114)</f>
        <v>279416</v>
      </c>
      <c r="F114" s="486">
        <f t="shared" si="33"/>
        <v>7602612</v>
      </c>
      <c r="G114" s="486">
        <f t="shared" si="34"/>
        <v>7742320</v>
      </c>
      <c r="H114" s="489">
        <f t="shared" si="35"/>
        <v>1077757.7864045857</v>
      </c>
      <c r="I114" s="543">
        <f t="shared" si="36"/>
        <v>1077757.7864045857</v>
      </c>
      <c r="J114" s="479">
        <f t="shared" si="20"/>
        <v>0</v>
      </c>
      <c r="K114" s="479"/>
      <c r="L114" s="488"/>
      <c r="M114" s="479">
        <f t="shared" si="22"/>
        <v>0</v>
      </c>
      <c r="N114" s="488"/>
      <c r="O114" s="479">
        <f t="shared" si="24"/>
        <v>0</v>
      </c>
      <c r="P114" s="479">
        <f t="shared" si="25"/>
        <v>0</v>
      </c>
    </row>
    <row r="115" spans="2:16" ht="12.5">
      <c r="B115" s="160" t="str">
        <f t="shared" si="26"/>
        <v/>
      </c>
      <c r="C115" s="473">
        <f>IF(D93="","-",+C114+1)</f>
        <v>2025</v>
      </c>
      <c r="D115" s="347">
        <f>IF(F114+SUM(E$99:E114)=D$92,F114,D$92-SUM(E$99:E114))</f>
        <v>7602612</v>
      </c>
      <c r="E115" s="487">
        <f>IF(+J96&lt;F114,J96,D115)</f>
        <v>279416</v>
      </c>
      <c r="F115" s="486">
        <f t="shared" si="33"/>
        <v>7323196</v>
      </c>
      <c r="G115" s="486">
        <f t="shared" si="34"/>
        <v>7462904</v>
      </c>
      <c r="H115" s="489">
        <f t="shared" si="35"/>
        <v>1048946.0776932403</v>
      </c>
      <c r="I115" s="543">
        <f t="shared" si="36"/>
        <v>1048946.0776932403</v>
      </c>
      <c r="J115" s="479">
        <f t="shared" si="20"/>
        <v>0</v>
      </c>
      <c r="K115" s="479"/>
      <c r="L115" s="488"/>
      <c r="M115" s="479">
        <f t="shared" si="22"/>
        <v>0</v>
      </c>
      <c r="N115" s="488"/>
      <c r="O115" s="479">
        <f t="shared" si="24"/>
        <v>0</v>
      </c>
      <c r="P115" s="479">
        <f t="shared" si="25"/>
        <v>0</v>
      </c>
    </row>
    <row r="116" spans="2:16" ht="12.5">
      <c r="B116" s="160" t="str">
        <f t="shared" si="26"/>
        <v/>
      </c>
      <c r="C116" s="473">
        <f>IF(D93="","-",+C115+1)</f>
        <v>2026</v>
      </c>
      <c r="D116" s="347">
        <f>IF(F115+SUM(E$99:E115)=D$92,F115,D$92-SUM(E$99:E115))</f>
        <v>7323196</v>
      </c>
      <c r="E116" s="487">
        <f>IF(+J96&lt;F115,J96,D116)</f>
        <v>279416</v>
      </c>
      <c r="F116" s="486">
        <f t="shared" si="33"/>
        <v>7043780</v>
      </c>
      <c r="G116" s="486">
        <f t="shared" si="34"/>
        <v>7183488</v>
      </c>
      <c r="H116" s="489">
        <f t="shared" si="35"/>
        <v>1020134.3689818949</v>
      </c>
      <c r="I116" s="543">
        <f t="shared" si="36"/>
        <v>1020134.3689818949</v>
      </c>
      <c r="J116" s="479">
        <f t="shared" si="20"/>
        <v>0</v>
      </c>
      <c r="K116" s="479"/>
      <c r="L116" s="488"/>
      <c r="M116" s="479">
        <f t="shared" si="22"/>
        <v>0</v>
      </c>
      <c r="N116" s="488"/>
      <c r="O116" s="479">
        <f t="shared" si="24"/>
        <v>0</v>
      </c>
      <c r="P116" s="479">
        <f t="shared" si="25"/>
        <v>0</v>
      </c>
    </row>
    <row r="117" spans="2:16" ht="12.5">
      <c r="B117" s="160" t="str">
        <f t="shared" si="26"/>
        <v/>
      </c>
      <c r="C117" s="473">
        <f>IF(D93="","-",+C116+1)</f>
        <v>2027</v>
      </c>
      <c r="D117" s="347">
        <f>IF(F116+SUM(E$99:E116)=D$92,F116,D$92-SUM(E$99:E116))</f>
        <v>7043780</v>
      </c>
      <c r="E117" s="487">
        <f>IF(+J96&lt;F116,J96,D117)</f>
        <v>279416</v>
      </c>
      <c r="F117" s="486">
        <f t="shared" si="33"/>
        <v>6764364</v>
      </c>
      <c r="G117" s="486">
        <f t="shared" si="34"/>
        <v>6904072</v>
      </c>
      <c r="H117" s="489">
        <f t="shared" si="35"/>
        <v>991322.66027054947</v>
      </c>
      <c r="I117" s="543">
        <f t="shared" si="36"/>
        <v>991322.66027054947</v>
      </c>
      <c r="J117" s="479">
        <f t="shared" si="20"/>
        <v>0</v>
      </c>
      <c r="K117" s="479"/>
      <c r="L117" s="488"/>
      <c r="M117" s="479">
        <f t="shared" si="22"/>
        <v>0</v>
      </c>
      <c r="N117" s="488"/>
      <c r="O117" s="479">
        <f t="shared" si="24"/>
        <v>0</v>
      </c>
      <c r="P117" s="479">
        <f t="shared" si="25"/>
        <v>0</v>
      </c>
    </row>
    <row r="118" spans="2:16" ht="12.5">
      <c r="B118" s="160" t="str">
        <f t="shared" si="26"/>
        <v/>
      </c>
      <c r="C118" s="473">
        <f>IF(D93="","-",+C117+1)</f>
        <v>2028</v>
      </c>
      <c r="D118" s="347">
        <f>IF(F117+SUM(E$99:E117)=D$92,F117,D$92-SUM(E$99:E117))</f>
        <v>6764364</v>
      </c>
      <c r="E118" s="487">
        <f>IF(+J96&lt;F117,J96,D118)</f>
        <v>279416</v>
      </c>
      <c r="F118" s="486">
        <f t="shared" si="33"/>
        <v>6484948</v>
      </c>
      <c r="G118" s="486">
        <f t="shared" si="34"/>
        <v>6624656</v>
      </c>
      <c r="H118" s="489">
        <f t="shared" si="35"/>
        <v>962510.95155920414</v>
      </c>
      <c r="I118" s="543">
        <f t="shared" si="36"/>
        <v>962510.95155920414</v>
      </c>
      <c r="J118" s="479">
        <f t="shared" si="20"/>
        <v>0</v>
      </c>
      <c r="K118" s="479"/>
      <c r="L118" s="488"/>
      <c r="M118" s="479">
        <f t="shared" si="22"/>
        <v>0</v>
      </c>
      <c r="N118" s="488"/>
      <c r="O118" s="479">
        <f t="shared" si="24"/>
        <v>0</v>
      </c>
      <c r="P118" s="479">
        <f t="shared" si="25"/>
        <v>0</v>
      </c>
    </row>
    <row r="119" spans="2:16" ht="12.5">
      <c r="B119" s="160" t="str">
        <f t="shared" si="26"/>
        <v/>
      </c>
      <c r="C119" s="473">
        <f>IF(D93="","-",+C118+1)</f>
        <v>2029</v>
      </c>
      <c r="D119" s="347">
        <f>IF(F118+SUM(E$99:E118)=D$92,F118,D$92-SUM(E$99:E118))</f>
        <v>6484948</v>
      </c>
      <c r="E119" s="487">
        <f>IF(+J96&lt;F118,J96,D119)</f>
        <v>279416</v>
      </c>
      <c r="F119" s="486">
        <f t="shared" si="33"/>
        <v>6205532</v>
      </c>
      <c r="G119" s="486">
        <f t="shared" si="34"/>
        <v>6345240</v>
      </c>
      <c r="H119" s="489">
        <f t="shared" si="35"/>
        <v>933699.2428478587</v>
      </c>
      <c r="I119" s="543">
        <f t="shared" si="36"/>
        <v>933699.2428478587</v>
      </c>
      <c r="J119" s="479">
        <f t="shared" si="20"/>
        <v>0</v>
      </c>
      <c r="K119" s="479"/>
      <c r="L119" s="488"/>
      <c r="M119" s="479">
        <f t="shared" si="22"/>
        <v>0</v>
      </c>
      <c r="N119" s="488"/>
      <c r="O119" s="479">
        <f t="shared" si="24"/>
        <v>0</v>
      </c>
      <c r="P119" s="479">
        <f t="shared" si="25"/>
        <v>0</v>
      </c>
    </row>
    <row r="120" spans="2:16" ht="12.5">
      <c r="B120" s="160" t="str">
        <f t="shared" si="26"/>
        <v/>
      </c>
      <c r="C120" s="473">
        <f>IF(D93="","-",+C119+1)</f>
        <v>2030</v>
      </c>
      <c r="D120" s="347">
        <f>IF(F119+SUM(E$99:E119)=D$92,F119,D$92-SUM(E$99:E119))</f>
        <v>6205532</v>
      </c>
      <c r="E120" s="487">
        <f>IF(+J96&lt;F119,J96,D120)</f>
        <v>279416</v>
      </c>
      <c r="F120" s="486">
        <f t="shared" si="33"/>
        <v>5926116</v>
      </c>
      <c r="G120" s="486">
        <f t="shared" si="34"/>
        <v>6065824</v>
      </c>
      <c r="H120" s="489">
        <f t="shared" si="35"/>
        <v>904887.53413651336</v>
      </c>
      <c r="I120" s="543">
        <f t="shared" si="36"/>
        <v>904887.53413651336</v>
      </c>
      <c r="J120" s="479">
        <f t="shared" si="20"/>
        <v>0</v>
      </c>
      <c r="K120" s="479"/>
      <c r="L120" s="488"/>
      <c r="M120" s="479">
        <f t="shared" si="22"/>
        <v>0</v>
      </c>
      <c r="N120" s="488"/>
      <c r="O120" s="479">
        <f t="shared" si="24"/>
        <v>0</v>
      </c>
      <c r="P120" s="479">
        <f t="shared" si="25"/>
        <v>0</v>
      </c>
    </row>
    <row r="121" spans="2:16" ht="12.5">
      <c r="B121" s="160" t="str">
        <f t="shared" si="26"/>
        <v/>
      </c>
      <c r="C121" s="473">
        <f>IF(D93="","-",+C120+1)</f>
        <v>2031</v>
      </c>
      <c r="D121" s="347">
        <f>IF(F120+SUM(E$99:E120)=D$92,F120,D$92-SUM(E$99:E120))</f>
        <v>5926116</v>
      </c>
      <c r="E121" s="487">
        <f>IF(+J96&lt;F120,J96,D121)</f>
        <v>279416</v>
      </c>
      <c r="F121" s="486">
        <f t="shared" si="33"/>
        <v>5646700</v>
      </c>
      <c r="G121" s="486">
        <f t="shared" si="34"/>
        <v>5786408</v>
      </c>
      <c r="H121" s="489">
        <f t="shared" si="35"/>
        <v>876075.82542516792</v>
      </c>
      <c r="I121" s="543">
        <f t="shared" si="36"/>
        <v>876075.82542516792</v>
      </c>
      <c r="J121" s="479">
        <f t="shared" si="20"/>
        <v>0</v>
      </c>
      <c r="K121" s="479"/>
      <c r="L121" s="488"/>
      <c r="M121" s="479">
        <f t="shared" si="22"/>
        <v>0</v>
      </c>
      <c r="N121" s="488"/>
      <c r="O121" s="479">
        <f t="shared" si="24"/>
        <v>0</v>
      </c>
      <c r="P121" s="479">
        <f t="shared" si="25"/>
        <v>0</v>
      </c>
    </row>
    <row r="122" spans="2:16" ht="12.5">
      <c r="B122" s="160" t="str">
        <f t="shared" si="26"/>
        <v/>
      </c>
      <c r="C122" s="473">
        <f>IF(D93="","-",+C121+1)</f>
        <v>2032</v>
      </c>
      <c r="D122" s="347">
        <f>IF(F121+SUM(E$99:E121)=D$92,F121,D$92-SUM(E$99:E121))</f>
        <v>5646700</v>
      </c>
      <c r="E122" s="487">
        <f>IF(+J96&lt;F121,J96,D122)</f>
        <v>279416</v>
      </c>
      <c r="F122" s="486">
        <f t="shared" si="33"/>
        <v>5367284</v>
      </c>
      <c r="G122" s="486">
        <f t="shared" si="34"/>
        <v>5506992</v>
      </c>
      <c r="H122" s="489">
        <f t="shared" si="35"/>
        <v>847264.11671382247</v>
      </c>
      <c r="I122" s="543">
        <f t="shared" si="36"/>
        <v>847264.11671382247</v>
      </c>
      <c r="J122" s="479">
        <f t="shared" si="20"/>
        <v>0</v>
      </c>
      <c r="K122" s="479"/>
      <c r="L122" s="488"/>
      <c r="M122" s="479">
        <f t="shared" si="22"/>
        <v>0</v>
      </c>
      <c r="N122" s="488"/>
      <c r="O122" s="479">
        <f t="shared" si="24"/>
        <v>0</v>
      </c>
      <c r="P122" s="479">
        <f t="shared" si="25"/>
        <v>0</v>
      </c>
    </row>
    <row r="123" spans="2:16" ht="12.5">
      <c r="B123" s="160" t="str">
        <f t="shared" si="26"/>
        <v/>
      </c>
      <c r="C123" s="473">
        <f>IF(D93="","-",+C122+1)</f>
        <v>2033</v>
      </c>
      <c r="D123" s="347">
        <f>IF(F122+SUM(E$99:E122)=D$92,F122,D$92-SUM(E$99:E122))</f>
        <v>5367284</v>
      </c>
      <c r="E123" s="487">
        <f>IF(+J96&lt;F122,J96,D123)</f>
        <v>279416</v>
      </c>
      <c r="F123" s="486">
        <f t="shared" si="33"/>
        <v>5087868</v>
      </c>
      <c r="G123" s="486">
        <f t="shared" si="34"/>
        <v>5227576</v>
      </c>
      <c r="H123" s="489">
        <f t="shared" si="35"/>
        <v>818452.40800247714</v>
      </c>
      <c r="I123" s="543">
        <f t="shared" si="36"/>
        <v>818452.40800247714</v>
      </c>
      <c r="J123" s="479">
        <f t="shared" si="20"/>
        <v>0</v>
      </c>
      <c r="K123" s="479"/>
      <c r="L123" s="488"/>
      <c r="M123" s="479">
        <f t="shared" si="22"/>
        <v>0</v>
      </c>
      <c r="N123" s="488"/>
      <c r="O123" s="479">
        <f t="shared" si="24"/>
        <v>0</v>
      </c>
      <c r="P123" s="479">
        <f t="shared" si="25"/>
        <v>0</v>
      </c>
    </row>
    <row r="124" spans="2:16" ht="12.5">
      <c r="B124" s="160" t="str">
        <f t="shared" si="26"/>
        <v/>
      </c>
      <c r="C124" s="473">
        <f>IF(D93="","-",+C123+1)</f>
        <v>2034</v>
      </c>
      <c r="D124" s="347">
        <f>IF(F123+SUM(E$99:E123)=D$92,F123,D$92-SUM(E$99:E123))</f>
        <v>5087868</v>
      </c>
      <c r="E124" s="487">
        <f>IF(+J96&lt;F123,J96,D124)</f>
        <v>279416</v>
      </c>
      <c r="F124" s="486">
        <f t="shared" si="33"/>
        <v>4808452</v>
      </c>
      <c r="G124" s="486">
        <f t="shared" si="34"/>
        <v>4948160</v>
      </c>
      <c r="H124" s="489">
        <f t="shared" si="35"/>
        <v>789640.69929113169</v>
      </c>
      <c r="I124" s="543">
        <f t="shared" si="36"/>
        <v>789640.69929113169</v>
      </c>
      <c r="J124" s="479">
        <f t="shared" si="20"/>
        <v>0</v>
      </c>
      <c r="K124" s="479"/>
      <c r="L124" s="488"/>
      <c r="M124" s="479">
        <f t="shared" si="22"/>
        <v>0</v>
      </c>
      <c r="N124" s="488"/>
      <c r="O124" s="479">
        <f t="shared" si="24"/>
        <v>0</v>
      </c>
      <c r="P124" s="479">
        <f t="shared" si="25"/>
        <v>0</v>
      </c>
    </row>
    <row r="125" spans="2:16" ht="12.5">
      <c r="B125" s="160" t="str">
        <f t="shared" si="26"/>
        <v/>
      </c>
      <c r="C125" s="473">
        <f>IF(D93="","-",+C124+1)</f>
        <v>2035</v>
      </c>
      <c r="D125" s="347">
        <f>IF(F124+SUM(E$99:E124)=D$92,F124,D$92-SUM(E$99:E124))</f>
        <v>4808452</v>
      </c>
      <c r="E125" s="487">
        <f>IF(+J96&lt;F124,J96,D125)</f>
        <v>279416</v>
      </c>
      <c r="F125" s="486">
        <f t="shared" si="33"/>
        <v>4529036</v>
      </c>
      <c r="G125" s="486">
        <f t="shared" si="34"/>
        <v>4668744</v>
      </c>
      <c r="H125" s="489">
        <f t="shared" si="35"/>
        <v>760828.99057978624</v>
      </c>
      <c r="I125" s="543">
        <f t="shared" si="36"/>
        <v>760828.99057978624</v>
      </c>
      <c r="J125" s="479">
        <f t="shared" si="20"/>
        <v>0</v>
      </c>
      <c r="K125" s="479"/>
      <c r="L125" s="488"/>
      <c r="M125" s="479">
        <f t="shared" si="22"/>
        <v>0</v>
      </c>
      <c r="N125" s="488"/>
      <c r="O125" s="479">
        <f t="shared" si="24"/>
        <v>0</v>
      </c>
      <c r="P125" s="479">
        <f t="shared" si="25"/>
        <v>0</v>
      </c>
    </row>
    <row r="126" spans="2:16" ht="12.5">
      <c r="B126" s="160" t="str">
        <f t="shared" si="26"/>
        <v/>
      </c>
      <c r="C126" s="473">
        <f>IF(D93="","-",+C125+1)</f>
        <v>2036</v>
      </c>
      <c r="D126" s="347">
        <f>IF(F125+SUM(E$99:E125)=D$92,F125,D$92-SUM(E$99:E125))</f>
        <v>4529036</v>
      </c>
      <c r="E126" s="487">
        <f>IF(+J96&lt;F125,J96,D126)</f>
        <v>279416</v>
      </c>
      <c r="F126" s="486">
        <f t="shared" si="33"/>
        <v>4249620</v>
      </c>
      <c r="G126" s="486">
        <f t="shared" si="34"/>
        <v>4389328</v>
      </c>
      <c r="H126" s="489">
        <f t="shared" si="35"/>
        <v>732017.28186844091</v>
      </c>
      <c r="I126" s="543">
        <f t="shared" si="36"/>
        <v>732017.28186844091</v>
      </c>
      <c r="J126" s="479">
        <f t="shared" si="20"/>
        <v>0</v>
      </c>
      <c r="K126" s="479"/>
      <c r="L126" s="488"/>
      <c r="M126" s="479">
        <f t="shared" si="22"/>
        <v>0</v>
      </c>
      <c r="N126" s="488"/>
      <c r="O126" s="479">
        <f t="shared" si="24"/>
        <v>0</v>
      </c>
      <c r="P126" s="479">
        <f t="shared" si="25"/>
        <v>0</v>
      </c>
    </row>
    <row r="127" spans="2:16" ht="12.5">
      <c r="B127" s="160" t="str">
        <f t="shared" si="26"/>
        <v/>
      </c>
      <c r="C127" s="473">
        <f>IF(D93="","-",+C126+1)</f>
        <v>2037</v>
      </c>
      <c r="D127" s="347">
        <f>IF(F126+SUM(E$99:E126)=D$92,F126,D$92-SUM(E$99:E126))</f>
        <v>4249620</v>
      </c>
      <c r="E127" s="487">
        <f>IF(+J96&lt;F126,J96,D127)</f>
        <v>279416</v>
      </c>
      <c r="F127" s="486">
        <f t="shared" si="33"/>
        <v>3970204</v>
      </c>
      <c r="G127" s="486">
        <f t="shared" si="34"/>
        <v>4109912</v>
      </c>
      <c r="H127" s="489">
        <f t="shared" si="35"/>
        <v>703205.57315709558</v>
      </c>
      <c r="I127" s="543">
        <f t="shared" si="36"/>
        <v>703205.57315709558</v>
      </c>
      <c r="J127" s="479">
        <f t="shared" si="20"/>
        <v>0</v>
      </c>
      <c r="K127" s="479"/>
      <c r="L127" s="488"/>
      <c r="M127" s="479">
        <f t="shared" si="22"/>
        <v>0</v>
      </c>
      <c r="N127" s="488"/>
      <c r="O127" s="479">
        <f t="shared" si="24"/>
        <v>0</v>
      </c>
      <c r="P127" s="479">
        <f t="shared" si="25"/>
        <v>0</v>
      </c>
    </row>
    <row r="128" spans="2:16" ht="12.5">
      <c r="B128" s="160" t="str">
        <f t="shared" si="26"/>
        <v/>
      </c>
      <c r="C128" s="473">
        <f>IF(D93="","-",+C127+1)</f>
        <v>2038</v>
      </c>
      <c r="D128" s="347">
        <f>IF(F127+SUM(E$99:E127)=D$92,F127,D$92-SUM(E$99:E127))</f>
        <v>3970204</v>
      </c>
      <c r="E128" s="487">
        <f>IF(+J96&lt;F127,J96,D128)</f>
        <v>279416</v>
      </c>
      <c r="F128" s="486">
        <f t="shared" si="33"/>
        <v>3690788</v>
      </c>
      <c r="G128" s="486">
        <f t="shared" si="34"/>
        <v>3830496</v>
      </c>
      <c r="H128" s="489">
        <f t="shared" si="35"/>
        <v>674393.86444575014</v>
      </c>
      <c r="I128" s="543">
        <f t="shared" si="36"/>
        <v>674393.86444575014</v>
      </c>
      <c r="J128" s="479">
        <f t="shared" si="20"/>
        <v>0</v>
      </c>
      <c r="K128" s="479"/>
      <c r="L128" s="488"/>
      <c r="M128" s="479">
        <f t="shared" si="22"/>
        <v>0</v>
      </c>
      <c r="N128" s="488"/>
      <c r="O128" s="479">
        <f t="shared" si="24"/>
        <v>0</v>
      </c>
      <c r="P128" s="479">
        <f t="shared" si="25"/>
        <v>0</v>
      </c>
    </row>
    <row r="129" spans="2:16" ht="12.5">
      <c r="B129" s="160" t="str">
        <f t="shared" si="26"/>
        <v/>
      </c>
      <c r="C129" s="473">
        <f>IF(D93="","-",+C128+1)</f>
        <v>2039</v>
      </c>
      <c r="D129" s="347">
        <f>IF(F128+SUM(E$99:E128)=D$92,F128,D$92-SUM(E$99:E128))</f>
        <v>3690788</v>
      </c>
      <c r="E129" s="487">
        <f>IF(+J96&lt;F128,J96,D129)</f>
        <v>279416</v>
      </c>
      <c r="F129" s="486">
        <f t="shared" si="33"/>
        <v>3411372</v>
      </c>
      <c r="G129" s="486">
        <f t="shared" si="34"/>
        <v>3551080</v>
      </c>
      <c r="H129" s="489">
        <f t="shared" si="35"/>
        <v>645582.15573440469</v>
      </c>
      <c r="I129" s="543">
        <f t="shared" si="36"/>
        <v>645582.15573440469</v>
      </c>
      <c r="J129" s="479">
        <f t="shared" si="20"/>
        <v>0</v>
      </c>
      <c r="K129" s="479"/>
      <c r="L129" s="488"/>
      <c r="M129" s="479">
        <f t="shared" si="22"/>
        <v>0</v>
      </c>
      <c r="N129" s="488"/>
      <c r="O129" s="479">
        <f t="shared" si="24"/>
        <v>0</v>
      </c>
      <c r="P129" s="479">
        <f t="shared" si="25"/>
        <v>0</v>
      </c>
    </row>
    <row r="130" spans="2:16" ht="12.5">
      <c r="B130" s="160" t="str">
        <f t="shared" si="26"/>
        <v/>
      </c>
      <c r="C130" s="473">
        <f>IF(D93="","-",+C129+1)</f>
        <v>2040</v>
      </c>
      <c r="D130" s="347">
        <f>IF(F129+SUM(E$99:E129)=D$92,F129,D$92-SUM(E$99:E129))</f>
        <v>3411372</v>
      </c>
      <c r="E130" s="487">
        <f>IF(+J96&lt;F129,J96,D130)</f>
        <v>279416</v>
      </c>
      <c r="F130" s="486">
        <f t="shared" si="33"/>
        <v>3131956</v>
      </c>
      <c r="G130" s="486">
        <f t="shared" si="34"/>
        <v>3271664</v>
      </c>
      <c r="H130" s="489">
        <f t="shared" si="35"/>
        <v>616770.44702305924</v>
      </c>
      <c r="I130" s="543">
        <f t="shared" si="36"/>
        <v>616770.44702305924</v>
      </c>
      <c r="J130" s="479">
        <f t="shared" si="20"/>
        <v>0</v>
      </c>
      <c r="K130" s="479"/>
      <c r="L130" s="488"/>
      <c r="M130" s="479">
        <f t="shared" si="22"/>
        <v>0</v>
      </c>
      <c r="N130" s="488"/>
      <c r="O130" s="479">
        <f t="shared" si="24"/>
        <v>0</v>
      </c>
      <c r="P130" s="479">
        <f t="shared" si="25"/>
        <v>0</v>
      </c>
    </row>
    <row r="131" spans="2:16" ht="12.5">
      <c r="B131" s="160" t="str">
        <f t="shared" si="26"/>
        <v/>
      </c>
      <c r="C131" s="473">
        <f>IF(D93="","-",+C130+1)</f>
        <v>2041</v>
      </c>
      <c r="D131" s="347">
        <f>IF(F130+SUM(E$99:E130)=D$92,F130,D$92-SUM(E$99:E130))</f>
        <v>3131956</v>
      </c>
      <c r="E131" s="487">
        <f>IF(+J96&lt;F130,J96,D131)</f>
        <v>279416</v>
      </c>
      <c r="F131" s="486">
        <f t="shared" ref="F131:F154" si="37">+D131-E131</f>
        <v>2852540</v>
      </c>
      <c r="G131" s="486">
        <f t="shared" ref="G131:G154" si="38">+(F131+D131)/2</f>
        <v>2992248</v>
      </c>
      <c r="H131" s="489">
        <f t="shared" si="35"/>
        <v>587958.73831171391</v>
      </c>
      <c r="I131" s="543">
        <f t="shared" si="36"/>
        <v>587958.73831171391</v>
      </c>
      <c r="J131" s="479">
        <f t="shared" ref="J131:J154" si="39">+I131-H131</f>
        <v>0</v>
      </c>
      <c r="K131" s="479"/>
      <c r="L131" s="488"/>
      <c r="M131" s="479">
        <f t="shared" ref="M131:M154" si="40">IF(L131&lt;&gt;0,+H131-L131,0)</f>
        <v>0</v>
      </c>
      <c r="N131" s="488"/>
      <c r="O131" s="479">
        <f t="shared" ref="O131:O154" si="41">IF(N131&lt;&gt;0,+I131-N131,0)</f>
        <v>0</v>
      </c>
      <c r="P131" s="479">
        <f t="shared" ref="P131:P154" si="42">+O131-M131</f>
        <v>0</v>
      </c>
    </row>
    <row r="132" spans="2:16" ht="12.5">
      <c r="B132" s="160" t="str">
        <f t="shared" si="26"/>
        <v/>
      </c>
      <c r="C132" s="473">
        <f>IF(D93="","-",+C131+1)</f>
        <v>2042</v>
      </c>
      <c r="D132" s="347">
        <f>IF(F131+SUM(E$99:E131)=D$92,F131,D$92-SUM(E$99:E131))</f>
        <v>2852540</v>
      </c>
      <c r="E132" s="487">
        <f>IF(+J96&lt;F131,J96,D132)</f>
        <v>279416</v>
      </c>
      <c r="F132" s="486">
        <f t="shared" si="37"/>
        <v>2573124</v>
      </c>
      <c r="G132" s="486">
        <f t="shared" si="38"/>
        <v>2712832</v>
      </c>
      <c r="H132" s="489">
        <f t="shared" si="35"/>
        <v>559147.02960036858</v>
      </c>
      <c r="I132" s="543">
        <f t="shared" si="36"/>
        <v>559147.02960036858</v>
      </c>
      <c r="J132" s="479">
        <f t="shared" si="39"/>
        <v>0</v>
      </c>
      <c r="K132" s="479"/>
      <c r="L132" s="488"/>
      <c r="M132" s="479">
        <f t="shared" si="40"/>
        <v>0</v>
      </c>
      <c r="N132" s="488"/>
      <c r="O132" s="479">
        <f t="shared" si="41"/>
        <v>0</v>
      </c>
      <c r="P132" s="479">
        <f t="shared" si="42"/>
        <v>0</v>
      </c>
    </row>
    <row r="133" spans="2:16" ht="12.5">
      <c r="B133" s="160" t="str">
        <f t="shared" si="26"/>
        <v/>
      </c>
      <c r="C133" s="473">
        <f>IF(D93="","-",+C132+1)</f>
        <v>2043</v>
      </c>
      <c r="D133" s="347">
        <f>IF(F132+SUM(E$99:E132)=D$92,F132,D$92-SUM(E$99:E132))</f>
        <v>2573124</v>
      </c>
      <c r="E133" s="487">
        <f>IF(+J96&lt;F132,J96,D133)</f>
        <v>279416</v>
      </c>
      <c r="F133" s="486">
        <f t="shared" si="37"/>
        <v>2293708</v>
      </c>
      <c r="G133" s="486">
        <f t="shared" si="38"/>
        <v>2433416</v>
      </c>
      <c r="H133" s="489">
        <f t="shared" si="35"/>
        <v>530335.32088902313</v>
      </c>
      <c r="I133" s="543">
        <f t="shared" si="36"/>
        <v>530335.32088902313</v>
      </c>
      <c r="J133" s="479">
        <f t="shared" si="39"/>
        <v>0</v>
      </c>
      <c r="K133" s="479"/>
      <c r="L133" s="488"/>
      <c r="M133" s="479">
        <f t="shared" si="40"/>
        <v>0</v>
      </c>
      <c r="N133" s="488"/>
      <c r="O133" s="479">
        <f t="shared" si="41"/>
        <v>0</v>
      </c>
      <c r="P133" s="479">
        <f t="shared" si="42"/>
        <v>0</v>
      </c>
    </row>
    <row r="134" spans="2:16" ht="12.5">
      <c r="B134" s="160" t="str">
        <f t="shared" si="26"/>
        <v/>
      </c>
      <c r="C134" s="473">
        <f>IF(D93="","-",+C133+1)</f>
        <v>2044</v>
      </c>
      <c r="D134" s="347">
        <f>IF(F133+SUM(E$99:E133)=D$92,F133,D$92-SUM(E$99:E133))</f>
        <v>2293708</v>
      </c>
      <c r="E134" s="487">
        <f>IF(+J96&lt;F133,J96,D134)</f>
        <v>279416</v>
      </c>
      <c r="F134" s="486">
        <f t="shared" si="37"/>
        <v>2014292</v>
      </c>
      <c r="G134" s="486">
        <f t="shared" si="38"/>
        <v>2154000</v>
      </c>
      <c r="H134" s="489">
        <f t="shared" si="35"/>
        <v>501523.61217767769</v>
      </c>
      <c r="I134" s="543">
        <f t="shared" si="36"/>
        <v>501523.61217767769</v>
      </c>
      <c r="J134" s="479">
        <f t="shared" si="39"/>
        <v>0</v>
      </c>
      <c r="K134" s="479"/>
      <c r="L134" s="488"/>
      <c r="M134" s="479">
        <f t="shared" si="40"/>
        <v>0</v>
      </c>
      <c r="N134" s="488"/>
      <c r="O134" s="479">
        <f t="shared" si="41"/>
        <v>0</v>
      </c>
      <c r="P134" s="479">
        <f t="shared" si="42"/>
        <v>0</v>
      </c>
    </row>
    <row r="135" spans="2:16" ht="12.5">
      <c r="B135" s="160" t="str">
        <f t="shared" si="26"/>
        <v/>
      </c>
      <c r="C135" s="473">
        <f>IF(D93="","-",+C134+1)</f>
        <v>2045</v>
      </c>
      <c r="D135" s="347">
        <f>IF(F134+SUM(E$99:E134)=D$92,F134,D$92-SUM(E$99:E134))</f>
        <v>2014292</v>
      </c>
      <c r="E135" s="487">
        <f>IF(+J96&lt;F134,J96,D135)</f>
        <v>279416</v>
      </c>
      <c r="F135" s="486">
        <f t="shared" si="37"/>
        <v>1734876</v>
      </c>
      <c r="G135" s="486">
        <f t="shared" si="38"/>
        <v>1874584</v>
      </c>
      <c r="H135" s="489">
        <f t="shared" si="35"/>
        <v>472711.9034663323</v>
      </c>
      <c r="I135" s="543">
        <f t="shared" si="36"/>
        <v>472711.9034663323</v>
      </c>
      <c r="J135" s="479">
        <f t="shared" si="39"/>
        <v>0</v>
      </c>
      <c r="K135" s="479"/>
      <c r="L135" s="488"/>
      <c r="M135" s="479">
        <f t="shared" si="40"/>
        <v>0</v>
      </c>
      <c r="N135" s="488"/>
      <c r="O135" s="479">
        <f t="shared" si="41"/>
        <v>0</v>
      </c>
      <c r="P135" s="479">
        <f t="shared" si="42"/>
        <v>0</v>
      </c>
    </row>
    <row r="136" spans="2:16" ht="12.5">
      <c r="B136" s="160" t="str">
        <f t="shared" si="26"/>
        <v/>
      </c>
      <c r="C136" s="473">
        <f>IF(D93="","-",+C135+1)</f>
        <v>2046</v>
      </c>
      <c r="D136" s="347">
        <f>IF(F135+SUM(E$99:E135)=D$92,F135,D$92-SUM(E$99:E135))</f>
        <v>1734876</v>
      </c>
      <c r="E136" s="487">
        <f>IF(+J96&lt;F135,J96,D136)</f>
        <v>279416</v>
      </c>
      <c r="F136" s="486">
        <f t="shared" si="37"/>
        <v>1455460</v>
      </c>
      <c r="G136" s="486">
        <f t="shared" si="38"/>
        <v>1595168</v>
      </c>
      <c r="H136" s="489">
        <f t="shared" si="35"/>
        <v>443900.19475498691</v>
      </c>
      <c r="I136" s="543">
        <f t="shared" si="36"/>
        <v>443900.19475498691</v>
      </c>
      <c r="J136" s="479">
        <f t="shared" si="39"/>
        <v>0</v>
      </c>
      <c r="K136" s="479"/>
      <c r="L136" s="488"/>
      <c r="M136" s="479">
        <f t="shared" si="40"/>
        <v>0</v>
      </c>
      <c r="N136" s="488"/>
      <c r="O136" s="479">
        <f t="shared" si="41"/>
        <v>0</v>
      </c>
      <c r="P136" s="479">
        <f t="shared" si="42"/>
        <v>0</v>
      </c>
    </row>
    <row r="137" spans="2:16" ht="12.5">
      <c r="B137" s="160" t="str">
        <f t="shared" si="26"/>
        <v/>
      </c>
      <c r="C137" s="473">
        <f>IF(D93="","-",+C136+1)</f>
        <v>2047</v>
      </c>
      <c r="D137" s="347">
        <f>IF(F136+SUM(E$99:E136)=D$92,F136,D$92-SUM(E$99:E136))</f>
        <v>1455460</v>
      </c>
      <c r="E137" s="487">
        <f>IF(+J96&lt;F136,J96,D137)</f>
        <v>279416</v>
      </c>
      <c r="F137" s="486">
        <f t="shared" si="37"/>
        <v>1176044</v>
      </c>
      <c r="G137" s="486">
        <f t="shared" si="38"/>
        <v>1315752</v>
      </c>
      <c r="H137" s="489">
        <f t="shared" si="35"/>
        <v>415088.48604364152</v>
      </c>
      <c r="I137" s="543">
        <f t="shared" si="36"/>
        <v>415088.48604364152</v>
      </c>
      <c r="J137" s="479">
        <f t="shared" si="39"/>
        <v>0</v>
      </c>
      <c r="K137" s="479"/>
      <c r="L137" s="488"/>
      <c r="M137" s="479">
        <f t="shared" si="40"/>
        <v>0</v>
      </c>
      <c r="N137" s="488"/>
      <c r="O137" s="479">
        <f t="shared" si="41"/>
        <v>0</v>
      </c>
      <c r="P137" s="479">
        <f t="shared" si="42"/>
        <v>0</v>
      </c>
    </row>
    <row r="138" spans="2:16" ht="12.5">
      <c r="B138" s="160" t="str">
        <f t="shared" si="26"/>
        <v/>
      </c>
      <c r="C138" s="473">
        <f>IF(D93="","-",+C137+1)</f>
        <v>2048</v>
      </c>
      <c r="D138" s="347">
        <f>IF(F137+SUM(E$99:E137)=D$92,F137,D$92-SUM(E$99:E137))</f>
        <v>1176044</v>
      </c>
      <c r="E138" s="487">
        <f>IF(+J96&lt;F137,J96,D138)</f>
        <v>279416</v>
      </c>
      <c r="F138" s="486">
        <f t="shared" si="37"/>
        <v>896628</v>
      </c>
      <c r="G138" s="486">
        <f t="shared" si="38"/>
        <v>1036336</v>
      </c>
      <c r="H138" s="489">
        <f t="shared" si="35"/>
        <v>386276.77733229613</v>
      </c>
      <c r="I138" s="543">
        <f t="shared" si="36"/>
        <v>386276.77733229613</v>
      </c>
      <c r="J138" s="479">
        <f t="shared" si="39"/>
        <v>0</v>
      </c>
      <c r="K138" s="479"/>
      <c r="L138" s="488"/>
      <c r="M138" s="479">
        <f t="shared" si="40"/>
        <v>0</v>
      </c>
      <c r="N138" s="488"/>
      <c r="O138" s="479">
        <f t="shared" si="41"/>
        <v>0</v>
      </c>
      <c r="P138" s="479">
        <f t="shared" si="42"/>
        <v>0</v>
      </c>
    </row>
    <row r="139" spans="2:16" ht="12.5">
      <c r="B139" s="160" t="str">
        <f t="shared" si="26"/>
        <v/>
      </c>
      <c r="C139" s="473">
        <f>IF(D93="","-",+C138+1)</f>
        <v>2049</v>
      </c>
      <c r="D139" s="347">
        <f>IF(F138+SUM(E$99:E138)=D$92,F138,D$92-SUM(E$99:E138))</f>
        <v>896628</v>
      </c>
      <c r="E139" s="487">
        <f>IF(+J96&lt;F138,J96,D139)</f>
        <v>279416</v>
      </c>
      <c r="F139" s="486">
        <f t="shared" si="37"/>
        <v>617212</v>
      </c>
      <c r="G139" s="486">
        <f t="shared" si="38"/>
        <v>756920</v>
      </c>
      <c r="H139" s="489">
        <f t="shared" si="35"/>
        <v>357465.06862095068</v>
      </c>
      <c r="I139" s="543">
        <f t="shared" si="36"/>
        <v>357465.06862095068</v>
      </c>
      <c r="J139" s="479">
        <f t="shared" si="39"/>
        <v>0</v>
      </c>
      <c r="K139" s="479"/>
      <c r="L139" s="488"/>
      <c r="M139" s="479">
        <f t="shared" si="40"/>
        <v>0</v>
      </c>
      <c r="N139" s="488"/>
      <c r="O139" s="479">
        <f t="shared" si="41"/>
        <v>0</v>
      </c>
      <c r="P139" s="479">
        <f t="shared" si="42"/>
        <v>0</v>
      </c>
    </row>
    <row r="140" spans="2:16" ht="12.5">
      <c r="B140" s="160" t="str">
        <f t="shared" si="26"/>
        <v/>
      </c>
      <c r="C140" s="473">
        <f>IF(D93="","-",+C139+1)</f>
        <v>2050</v>
      </c>
      <c r="D140" s="347">
        <f>IF(F139+SUM(E$99:E139)=D$92,F139,D$92-SUM(E$99:E139))</f>
        <v>617212</v>
      </c>
      <c r="E140" s="487">
        <f>IF(+J96&lt;F139,J96,D140)</f>
        <v>279416</v>
      </c>
      <c r="F140" s="486">
        <f t="shared" si="37"/>
        <v>337796</v>
      </c>
      <c r="G140" s="486">
        <f t="shared" si="38"/>
        <v>477504</v>
      </c>
      <c r="H140" s="489">
        <f t="shared" si="35"/>
        <v>328653.35990960529</v>
      </c>
      <c r="I140" s="543">
        <f t="shared" si="36"/>
        <v>328653.35990960529</v>
      </c>
      <c r="J140" s="479">
        <f t="shared" si="39"/>
        <v>0</v>
      </c>
      <c r="K140" s="479"/>
      <c r="L140" s="488"/>
      <c r="M140" s="479">
        <f t="shared" si="40"/>
        <v>0</v>
      </c>
      <c r="N140" s="488"/>
      <c r="O140" s="479">
        <f t="shared" si="41"/>
        <v>0</v>
      </c>
      <c r="P140" s="479">
        <f t="shared" si="42"/>
        <v>0</v>
      </c>
    </row>
    <row r="141" spans="2:16" ht="12.5">
      <c r="B141" s="160" t="str">
        <f t="shared" si="26"/>
        <v/>
      </c>
      <c r="C141" s="473">
        <f>IF(D93="","-",+C140+1)</f>
        <v>2051</v>
      </c>
      <c r="D141" s="347">
        <f>IF(F140+SUM(E$99:E140)=D$92,F140,D$92-SUM(E$99:E140))</f>
        <v>337796</v>
      </c>
      <c r="E141" s="487">
        <f>IF(+J96&lt;F140,J96,D141)</f>
        <v>279416</v>
      </c>
      <c r="F141" s="486">
        <f t="shared" si="37"/>
        <v>58380</v>
      </c>
      <c r="G141" s="486">
        <f t="shared" si="38"/>
        <v>198088</v>
      </c>
      <c r="H141" s="489">
        <f t="shared" si="35"/>
        <v>299841.6511982599</v>
      </c>
      <c r="I141" s="543">
        <f t="shared" si="36"/>
        <v>299841.6511982599</v>
      </c>
      <c r="J141" s="479">
        <f t="shared" si="39"/>
        <v>0</v>
      </c>
      <c r="K141" s="479"/>
      <c r="L141" s="488"/>
      <c r="M141" s="479">
        <f t="shared" si="40"/>
        <v>0</v>
      </c>
      <c r="N141" s="488"/>
      <c r="O141" s="479">
        <f t="shared" si="41"/>
        <v>0</v>
      </c>
      <c r="P141" s="479">
        <f t="shared" si="42"/>
        <v>0</v>
      </c>
    </row>
    <row r="142" spans="2:16" ht="12.5">
      <c r="B142" s="160" t="str">
        <f t="shared" si="26"/>
        <v/>
      </c>
      <c r="C142" s="473">
        <f>IF(D93="","-",+C141+1)</f>
        <v>2052</v>
      </c>
      <c r="D142" s="347">
        <f>IF(F141+SUM(E$99:E141)=D$92,F141,D$92-SUM(E$99:E141))</f>
        <v>58380</v>
      </c>
      <c r="E142" s="487">
        <f>IF(+J96&lt;F141,J96,D142)</f>
        <v>58380</v>
      </c>
      <c r="F142" s="486">
        <f t="shared" si="37"/>
        <v>0</v>
      </c>
      <c r="G142" s="486">
        <f t="shared" si="38"/>
        <v>29190</v>
      </c>
      <c r="H142" s="489">
        <f t="shared" si="35"/>
        <v>61389.898421293597</v>
      </c>
      <c r="I142" s="543">
        <f t="shared" si="36"/>
        <v>61389.898421293597</v>
      </c>
      <c r="J142" s="479">
        <f t="shared" si="39"/>
        <v>0</v>
      </c>
      <c r="K142" s="479"/>
      <c r="L142" s="488"/>
      <c r="M142" s="479">
        <f t="shared" si="40"/>
        <v>0</v>
      </c>
      <c r="N142" s="488"/>
      <c r="O142" s="479">
        <f t="shared" si="41"/>
        <v>0</v>
      </c>
      <c r="P142" s="479">
        <f t="shared" si="42"/>
        <v>0</v>
      </c>
    </row>
    <row r="143" spans="2:16" ht="12.5">
      <c r="B143" s="160" t="str">
        <f t="shared" si="26"/>
        <v/>
      </c>
      <c r="C143" s="473">
        <f>IF(D93="","-",+C142+1)</f>
        <v>2053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7"/>
        <v>0</v>
      </c>
      <c r="G143" s="486">
        <f t="shared" si="38"/>
        <v>0</v>
      </c>
      <c r="H143" s="489">
        <f t="shared" si="35"/>
        <v>0</v>
      </c>
      <c r="I143" s="543">
        <f t="shared" si="36"/>
        <v>0</v>
      </c>
      <c r="J143" s="479">
        <f t="shared" si="39"/>
        <v>0</v>
      </c>
      <c r="K143" s="479"/>
      <c r="L143" s="488"/>
      <c r="M143" s="479">
        <f t="shared" si="40"/>
        <v>0</v>
      </c>
      <c r="N143" s="488"/>
      <c r="O143" s="479">
        <f t="shared" si="41"/>
        <v>0</v>
      </c>
      <c r="P143" s="479">
        <f t="shared" si="42"/>
        <v>0</v>
      </c>
    </row>
    <row r="144" spans="2:16" ht="12.5">
      <c r="B144" s="160" t="str">
        <f t="shared" si="26"/>
        <v/>
      </c>
      <c r="C144" s="473">
        <f>IF(D93="","-",+C143+1)</f>
        <v>2054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7"/>
        <v>0</v>
      </c>
      <c r="G144" s="486">
        <f t="shared" si="38"/>
        <v>0</v>
      </c>
      <c r="H144" s="489">
        <f t="shared" si="35"/>
        <v>0</v>
      </c>
      <c r="I144" s="543">
        <f t="shared" si="36"/>
        <v>0</v>
      </c>
      <c r="J144" s="479">
        <f t="shared" si="39"/>
        <v>0</v>
      </c>
      <c r="K144" s="479"/>
      <c r="L144" s="488"/>
      <c r="M144" s="479">
        <f t="shared" si="40"/>
        <v>0</v>
      </c>
      <c r="N144" s="488"/>
      <c r="O144" s="479">
        <f t="shared" si="41"/>
        <v>0</v>
      </c>
      <c r="P144" s="479">
        <f t="shared" si="42"/>
        <v>0</v>
      </c>
    </row>
    <row r="145" spans="2:16" ht="12.5">
      <c r="B145" s="160" t="str">
        <f t="shared" si="26"/>
        <v/>
      </c>
      <c r="C145" s="473">
        <f>IF(D93="","-",+C144+1)</f>
        <v>2055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7"/>
        <v>0</v>
      </c>
      <c r="G145" s="486">
        <f t="shared" si="38"/>
        <v>0</v>
      </c>
      <c r="H145" s="489">
        <f t="shared" si="35"/>
        <v>0</v>
      </c>
      <c r="I145" s="543">
        <f t="shared" si="36"/>
        <v>0</v>
      </c>
      <c r="J145" s="479">
        <f t="shared" si="39"/>
        <v>0</v>
      </c>
      <c r="K145" s="479"/>
      <c r="L145" s="488"/>
      <c r="M145" s="479">
        <f t="shared" si="40"/>
        <v>0</v>
      </c>
      <c r="N145" s="488"/>
      <c r="O145" s="479">
        <f t="shared" si="41"/>
        <v>0</v>
      </c>
      <c r="P145" s="479">
        <f t="shared" si="42"/>
        <v>0</v>
      </c>
    </row>
    <row r="146" spans="2:16" ht="12.5">
      <c r="B146" s="160" t="str">
        <f t="shared" si="26"/>
        <v/>
      </c>
      <c r="C146" s="473">
        <f>IF(D93="","-",+C145+1)</f>
        <v>2056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7"/>
        <v>0</v>
      </c>
      <c r="G146" s="486">
        <f t="shared" si="38"/>
        <v>0</v>
      </c>
      <c r="H146" s="489">
        <f t="shared" si="35"/>
        <v>0</v>
      </c>
      <c r="I146" s="543">
        <f t="shared" si="36"/>
        <v>0</v>
      </c>
      <c r="J146" s="479">
        <f t="shared" si="39"/>
        <v>0</v>
      </c>
      <c r="K146" s="479"/>
      <c r="L146" s="488"/>
      <c r="M146" s="479">
        <f t="shared" si="40"/>
        <v>0</v>
      </c>
      <c r="N146" s="488"/>
      <c r="O146" s="479">
        <f t="shared" si="41"/>
        <v>0</v>
      </c>
      <c r="P146" s="479">
        <f t="shared" si="42"/>
        <v>0</v>
      </c>
    </row>
    <row r="147" spans="2:16" ht="12.5">
      <c r="B147" s="160" t="str">
        <f t="shared" si="26"/>
        <v/>
      </c>
      <c r="C147" s="473">
        <f>IF(D93="","-",+C146+1)</f>
        <v>2057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7"/>
        <v>0</v>
      </c>
      <c r="G147" s="486">
        <f t="shared" si="38"/>
        <v>0</v>
      </c>
      <c r="H147" s="489">
        <f t="shared" si="35"/>
        <v>0</v>
      </c>
      <c r="I147" s="543">
        <f t="shared" si="36"/>
        <v>0</v>
      </c>
      <c r="J147" s="479">
        <f t="shared" si="39"/>
        <v>0</v>
      </c>
      <c r="K147" s="479"/>
      <c r="L147" s="488"/>
      <c r="M147" s="479">
        <f t="shared" si="40"/>
        <v>0</v>
      </c>
      <c r="N147" s="488"/>
      <c r="O147" s="479">
        <f t="shared" si="41"/>
        <v>0</v>
      </c>
      <c r="P147" s="479">
        <f t="shared" si="42"/>
        <v>0</v>
      </c>
    </row>
    <row r="148" spans="2:16" ht="12.5">
      <c r="B148" s="160" t="str">
        <f t="shared" si="26"/>
        <v/>
      </c>
      <c r="C148" s="473">
        <f>IF(D93="","-",+C147+1)</f>
        <v>2058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7"/>
        <v>0</v>
      </c>
      <c r="G148" s="486">
        <f t="shared" si="38"/>
        <v>0</v>
      </c>
      <c r="H148" s="489">
        <f t="shared" si="35"/>
        <v>0</v>
      </c>
      <c r="I148" s="543">
        <f t="shared" si="36"/>
        <v>0</v>
      </c>
      <c r="J148" s="479">
        <f t="shared" si="39"/>
        <v>0</v>
      </c>
      <c r="K148" s="479"/>
      <c r="L148" s="488"/>
      <c r="M148" s="479">
        <f t="shared" si="40"/>
        <v>0</v>
      </c>
      <c r="N148" s="488"/>
      <c r="O148" s="479">
        <f t="shared" si="41"/>
        <v>0</v>
      </c>
      <c r="P148" s="479">
        <f t="shared" si="42"/>
        <v>0</v>
      </c>
    </row>
    <row r="149" spans="2:16" ht="12.5">
      <c r="B149" s="160" t="str">
        <f t="shared" si="26"/>
        <v/>
      </c>
      <c r="C149" s="473">
        <f>IF(D93="","-",+C148+1)</f>
        <v>2059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7"/>
        <v>0</v>
      </c>
      <c r="G149" s="486">
        <f t="shared" si="38"/>
        <v>0</v>
      </c>
      <c r="H149" s="489">
        <f t="shared" si="35"/>
        <v>0</v>
      </c>
      <c r="I149" s="543">
        <f t="shared" si="36"/>
        <v>0</v>
      </c>
      <c r="J149" s="479">
        <f t="shared" si="39"/>
        <v>0</v>
      </c>
      <c r="K149" s="479"/>
      <c r="L149" s="488"/>
      <c r="M149" s="479">
        <f t="shared" si="40"/>
        <v>0</v>
      </c>
      <c r="N149" s="488"/>
      <c r="O149" s="479">
        <f t="shared" si="41"/>
        <v>0</v>
      </c>
      <c r="P149" s="479">
        <f t="shared" si="42"/>
        <v>0</v>
      </c>
    </row>
    <row r="150" spans="2:16" ht="12.5">
      <c r="B150" s="160" t="str">
        <f t="shared" si="26"/>
        <v/>
      </c>
      <c r="C150" s="473">
        <f>IF(D93="","-",+C149+1)</f>
        <v>2060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7"/>
        <v>0</v>
      </c>
      <c r="G150" s="486">
        <f t="shared" si="38"/>
        <v>0</v>
      </c>
      <c r="H150" s="489">
        <f t="shared" si="35"/>
        <v>0</v>
      </c>
      <c r="I150" s="543">
        <f t="shared" si="36"/>
        <v>0</v>
      </c>
      <c r="J150" s="479">
        <f t="shared" si="39"/>
        <v>0</v>
      </c>
      <c r="K150" s="479"/>
      <c r="L150" s="488"/>
      <c r="M150" s="479">
        <f t="shared" si="40"/>
        <v>0</v>
      </c>
      <c r="N150" s="488"/>
      <c r="O150" s="479">
        <f t="shared" si="41"/>
        <v>0</v>
      </c>
      <c r="P150" s="479">
        <f t="shared" si="42"/>
        <v>0</v>
      </c>
    </row>
    <row r="151" spans="2:16" ht="12.5">
      <c r="B151" s="160" t="str">
        <f t="shared" si="26"/>
        <v/>
      </c>
      <c r="C151" s="473">
        <f>IF(D93="","-",+C150+1)</f>
        <v>2061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7"/>
        <v>0</v>
      </c>
      <c r="G151" s="486">
        <f t="shared" si="38"/>
        <v>0</v>
      </c>
      <c r="H151" s="489">
        <f t="shared" si="35"/>
        <v>0</v>
      </c>
      <c r="I151" s="543">
        <f t="shared" si="36"/>
        <v>0</v>
      </c>
      <c r="J151" s="479">
        <f t="shared" si="39"/>
        <v>0</v>
      </c>
      <c r="K151" s="479"/>
      <c r="L151" s="488"/>
      <c r="M151" s="479">
        <f t="shared" si="40"/>
        <v>0</v>
      </c>
      <c r="N151" s="488"/>
      <c r="O151" s="479">
        <f t="shared" si="41"/>
        <v>0</v>
      </c>
      <c r="P151" s="479">
        <f t="shared" si="42"/>
        <v>0</v>
      </c>
    </row>
    <row r="152" spans="2:16" ht="12.5">
      <c r="B152" s="160" t="str">
        <f t="shared" si="26"/>
        <v/>
      </c>
      <c r="C152" s="473">
        <f>IF(D93="","-",+C151+1)</f>
        <v>2062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7"/>
        <v>0</v>
      </c>
      <c r="G152" s="486">
        <f t="shared" si="38"/>
        <v>0</v>
      </c>
      <c r="H152" s="489">
        <f t="shared" si="35"/>
        <v>0</v>
      </c>
      <c r="I152" s="543">
        <f t="shared" si="36"/>
        <v>0</v>
      </c>
      <c r="J152" s="479">
        <f t="shared" si="39"/>
        <v>0</v>
      </c>
      <c r="K152" s="479"/>
      <c r="L152" s="488"/>
      <c r="M152" s="479">
        <f t="shared" si="40"/>
        <v>0</v>
      </c>
      <c r="N152" s="488"/>
      <c r="O152" s="479">
        <f t="shared" si="41"/>
        <v>0</v>
      </c>
      <c r="P152" s="479">
        <f t="shared" si="42"/>
        <v>0</v>
      </c>
    </row>
    <row r="153" spans="2:16" ht="12.5">
      <c r="B153" s="160" t="str">
        <f t="shared" si="26"/>
        <v/>
      </c>
      <c r="C153" s="473">
        <f>IF(D93="","-",+C152+1)</f>
        <v>2063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7"/>
        <v>0</v>
      </c>
      <c r="G153" s="486">
        <f t="shared" si="38"/>
        <v>0</v>
      </c>
      <c r="H153" s="489">
        <f t="shared" si="35"/>
        <v>0</v>
      </c>
      <c r="I153" s="543">
        <f t="shared" si="36"/>
        <v>0</v>
      </c>
      <c r="J153" s="479">
        <f t="shared" si="39"/>
        <v>0</v>
      </c>
      <c r="K153" s="479"/>
      <c r="L153" s="488"/>
      <c r="M153" s="479">
        <f t="shared" si="40"/>
        <v>0</v>
      </c>
      <c r="N153" s="488"/>
      <c r="O153" s="479">
        <f t="shared" si="41"/>
        <v>0</v>
      </c>
      <c r="P153" s="479">
        <f t="shared" si="42"/>
        <v>0</v>
      </c>
    </row>
    <row r="154" spans="2:16" ht="13" thickBot="1">
      <c r="B154" s="160" t="str">
        <f t="shared" si="26"/>
        <v/>
      </c>
      <c r="C154" s="490">
        <f>IF(D93="","-",+C153+1)</f>
        <v>2064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7"/>
        <v>0</v>
      </c>
      <c r="G154" s="491">
        <f t="shared" si="38"/>
        <v>0</v>
      </c>
      <c r="H154" s="493">
        <f t="shared" si="35"/>
        <v>0</v>
      </c>
      <c r="I154" s="546">
        <f t="shared" si="36"/>
        <v>0</v>
      </c>
      <c r="J154" s="496">
        <f t="shared" si="39"/>
        <v>0</v>
      </c>
      <c r="K154" s="479"/>
      <c r="L154" s="495"/>
      <c r="M154" s="496">
        <f t="shared" si="40"/>
        <v>0</v>
      </c>
      <c r="N154" s="495"/>
      <c r="O154" s="496">
        <f t="shared" si="41"/>
        <v>0</v>
      </c>
      <c r="P154" s="496">
        <f t="shared" si="42"/>
        <v>0</v>
      </c>
    </row>
    <row r="155" spans="2:16" ht="12.5">
      <c r="C155" s="347" t="s">
        <v>77</v>
      </c>
      <c r="D155" s="348"/>
      <c r="E155" s="348">
        <f>SUM(E99:E154)</f>
        <v>11456065</v>
      </c>
      <c r="F155" s="348"/>
      <c r="G155" s="348"/>
      <c r="H155" s="348">
        <f>SUM(H99:H154)</f>
        <v>41214171.910320088</v>
      </c>
      <c r="I155" s="348">
        <f>SUM(I99:I154)</f>
        <v>41214171.910320088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tabSelected="1" view="pageBreakPreview" topLeftCell="B1" zoomScale="75" zoomScaleNormal="100" zoomScaleSheetLayoutView="5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4 of 28</v>
      </c>
    </row>
    <row r="2" spans="1:16" ht="20">
      <c r="A2" s="556"/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 t="s">
        <v>251</v>
      </c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VLOOKUP(I10,C17:I72,5)-O5</f>
        <v>1638222.8007125233</v>
      </c>
      <c r="O5" s="557">
        <f>1307.4*12</f>
        <v>15688.800000000001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VLOOKUP(I10,C17:I72,6)-O5</f>
        <v>1638222.8007125233</v>
      </c>
      <c r="O6" s="233"/>
      <c r="P6" s="233"/>
    </row>
    <row r="7" spans="1:16" ht="13.5" thickBot="1">
      <c r="C7" s="432" t="s">
        <v>46</v>
      </c>
      <c r="D7" s="433" t="s">
        <v>207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82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14615636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2008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7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324791.91111111111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558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2008</v>
      </c>
      <c r="D17" s="559">
        <v>2264444</v>
      </c>
      <c r="E17" s="475">
        <v>21774</v>
      </c>
      <c r="F17" s="474">
        <v>2242670</v>
      </c>
      <c r="G17" s="475">
        <v>215833</v>
      </c>
      <c r="H17" s="475">
        <v>215833</v>
      </c>
      <c r="I17" s="476">
        <f t="shared" ref="I17:I48" si="0">H17-G17</f>
        <v>0</v>
      </c>
      <c r="J17" s="349"/>
      <c r="K17" s="477">
        <v>215833</v>
      </c>
      <c r="L17" s="560">
        <f t="shared" ref="L17:L48" si="1">IF(K17&lt;&gt;0,+G17-K17,0)</f>
        <v>0</v>
      </c>
      <c r="M17" s="555">
        <v>215833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2009</v>
      </c>
      <c r="D18" s="474">
        <v>14429811</v>
      </c>
      <c r="E18" s="481">
        <v>274418</v>
      </c>
      <c r="F18" s="474">
        <v>14155393</v>
      </c>
      <c r="G18" s="481">
        <v>2443110</v>
      </c>
      <c r="H18" s="481">
        <v>2443110</v>
      </c>
      <c r="I18" s="476">
        <f t="shared" si="0"/>
        <v>0</v>
      </c>
      <c r="J18" s="476"/>
      <c r="K18" s="477">
        <v>2443110</v>
      </c>
      <c r="L18" s="479">
        <f t="shared" si="1"/>
        <v>0</v>
      </c>
      <c r="M18" s="477">
        <v>2443110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2010</v>
      </c>
      <c r="D19" s="480">
        <v>14390719</v>
      </c>
      <c r="E19" s="481">
        <v>262266.26785714284</v>
      </c>
      <c r="F19" s="480">
        <v>14128452.732142856</v>
      </c>
      <c r="G19" s="481">
        <v>2300952.2678571427</v>
      </c>
      <c r="H19" s="482">
        <v>2300952.2678571427</v>
      </c>
      <c r="I19" s="476">
        <f t="shared" si="0"/>
        <v>0</v>
      </c>
      <c r="J19" s="476"/>
      <c r="K19" s="477">
        <f t="shared" ref="K19:K24" si="4">G19</f>
        <v>2300952.2678571427</v>
      </c>
      <c r="L19" s="551">
        <f t="shared" si="1"/>
        <v>0</v>
      </c>
      <c r="M19" s="477">
        <f t="shared" ref="M19:M24" si="5">H19</f>
        <v>2300952.2678571427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>IU</v>
      </c>
      <c r="C20" s="473">
        <f>IF(D11="","-",+C19+1)</f>
        <v>2011</v>
      </c>
      <c r="D20" s="480">
        <v>14057177.732142856</v>
      </c>
      <c r="E20" s="481">
        <v>286581.09803921566</v>
      </c>
      <c r="F20" s="480">
        <v>13770596.634103641</v>
      </c>
      <c r="G20" s="481">
        <v>2442276.0980392154</v>
      </c>
      <c r="H20" s="482">
        <v>2442276.0980392154</v>
      </c>
      <c r="I20" s="476">
        <f t="shared" si="0"/>
        <v>0</v>
      </c>
      <c r="J20" s="476"/>
      <c r="K20" s="477">
        <f t="shared" si="4"/>
        <v>2442276.0980392154</v>
      </c>
      <c r="L20" s="551">
        <f t="shared" si="1"/>
        <v>0</v>
      </c>
      <c r="M20" s="477">
        <f t="shared" si="5"/>
        <v>2442276.0980392154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IF(D12="","-",+C20+1)</f>
        <v>2012</v>
      </c>
      <c r="D21" s="480">
        <v>13770596.634103641</v>
      </c>
      <c r="E21" s="481">
        <v>281069.92307692306</v>
      </c>
      <c r="F21" s="480">
        <v>13489526.711026717</v>
      </c>
      <c r="G21" s="481">
        <v>2158902.923076923</v>
      </c>
      <c r="H21" s="482">
        <v>2158902.923076923</v>
      </c>
      <c r="I21" s="476">
        <f t="shared" si="0"/>
        <v>0</v>
      </c>
      <c r="J21" s="476"/>
      <c r="K21" s="477">
        <f t="shared" si="4"/>
        <v>2158902.923076923</v>
      </c>
      <c r="L21" s="551">
        <f t="shared" si="1"/>
        <v>0</v>
      </c>
      <c r="M21" s="477">
        <f t="shared" si="5"/>
        <v>2158902.923076923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6"/>
        <v/>
      </c>
      <c r="C22" s="473">
        <f>IF(D11="","-",+C21+1)</f>
        <v>2013</v>
      </c>
      <c r="D22" s="480">
        <v>13489526.711026717</v>
      </c>
      <c r="E22" s="481">
        <v>281069.92307692306</v>
      </c>
      <c r="F22" s="480">
        <v>13208456.787949793</v>
      </c>
      <c r="G22" s="481">
        <v>2167326.923076923</v>
      </c>
      <c r="H22" s="482">
        <v>2167326.923076923</v>
      </c>
      <c r="I22" s="476">
        <v>0</v>
      </c>
      <c r="J22" s="476"/>
      <c r="K22" s="477">
        <f t="shared" si="4"/>
        <v>2167326.923076923</v>
      </c>
      <c r="L22" s="551">
        <f t="shared" ref="L22:L27" si="7">IF(K22&lt;&gt;0,+G22-K22,0)</f>
        <v>0</v>
      </c>
      <c r="M22" s="477">
        <f t="shared" si="5"/>
        <v>2167326.923076923</v>
      </c>
      <c r="N22" s="479">
        <f t="shared" ref="N22:N27" si="8">IF(M22&lt;&gt;0,+H22-M22,0)</f>
        <v>0</v>
      </c>
      <c r="O22" s="479">
        <f t="shared" ref="O22:O27" si="9">+N22-L22</f>
        <v>0</v>
      </c>
      <c r="P22" s="243"/>
    </row>
    <row r="23" spans="2:16" ht="12.5">
      <c r="B23" s="160" t="str">
        <f t="shared" si="6"/>
        <v/>
      </c>
      <c r="C23" s="473">
        <f>IF(D11="","-",+C22+1)</f>
        <v>2014</v>
      </c>
      <c r="D23" s="480">
        <v>13208456.787949793</v>
      </c>
      <c r="E23" s="481">
        <v>281069.92307692306</v>
      </c>
      <c r="F23" s="480">
        <v>12927386.864872869</v>
      </c>
      <c r="G23" s="481">
        <v>2060637.923076923</v>
      </c>
      <c r="H23" s="482">
        <v>2060637.923076923</v>
      </c>
      <c r="I23" s="476">
        <v>0</v>
      </c>
      <c r="J23" s="476"/>
      <c r="K23" s="477">
        <f t="shared" si="4"/>
        <v>2060637.923076923</v>
      </c>
      <c r="L23" s="551">
        <f t="shared" si="7"/>
        <v>0</v>
      </c>
      <c r="M23" s="477">
        <f t="shared" si="5"/>
        <v>2060637.923076923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2015</v>
      </c>
      <c r="D24" s="480">
        <v>12927386.864872869</v>
      </c>
      <c r="E24" s="481">
        <v>281069.92307692306</v>
      </c>
      <c r="F24" s="480">
        <v>12646316.941795945</v>
      </c>
      <c r="G24" s="481">
        <v>2024638.923076923</v>
      </c>
      <c r="H24" s="482">
        <v>2024638.923076923</v>
      </c>
      <c r="I24" s="476">
        <v>0</v>
      </c>
      <c r="J24" s="476"/>
      <c r="K24" s="477">
        <f t="shared" si="4"/>
        <v>2024638.923076923</v>
      </c>
      <c r="L24" s="551">
        <f t="shared" si="7"/>
        <v>0</v>
      </c>
      <c r="M24" s="477">
        <f t="shared" si="5"/>
        <v>2024638.923076923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2016</v>
      </c>
      <c r="D25" s="480">
        <v>12646316.941795945</v>
      </c>
      <c r="E25" s="481">
        <v>281069.92307692306</v>
      </c>
      <c r="F25" s="480">
        <v>12365247.018719021</v>
      </c>
      <c r="G25" s="481">
        <v>1902890.923076923</v>
      </c>
      <c r="H25" s="482">
        <v>1902890.923076923</v>
      </c>
      <c r="I25" s="476">
        <f t="shared" si="0"/>
        <v>0</v>
      </c>
      <c r="J25" s="476"/>
      <c r="K25" s="477">
        <f>G25</f>
        <v>1902890.923076923</v>
      </c>
      <c r="L25" s="551">
        <f t="shared" si="7"/>
        <v>0</v>
      </c>
      <c r="M25" s="477">
        <f>H25</f>
        <v>1902890.923076923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2017</v>
      </c>
      <c r="D26" s="480">
        <v>12365247.018719021</v>
      </c>
      <c r="E26" s="481">
        <v>317731.21739130432</v>
      </c>
      <c r="F26" s="480">
        <v>12047515.801327717</v>
      </c>
      <c r="G26" s="481">
        <v>1850906.2173913042</v>
      </c>
      <c r="H26" s="482">
        <v>1850906.2173913042</v>
      </c>
      <c r="I26" s="476">
        <f t="shared" si="0"/>
        <v>0</v>
      </c>
      <c r="J26" s="476"/>
      <c r="K26" s="477">
        <f>G26</f>
        <v>1850906.2173913042</v>
      </c>
      <c r="L26" s="551">
        <f t="shared" si="7"/>
        <v>0</v>
      </c>
      <c r="M26" s="477">
        <f>H26</f>
        <v>1850906.2173913042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2018</v>
      </c>
      <c r="D27" s="480">
        <v>12047515.801327717</v>
      </c>
      <c r="E27" s="481">
        <v>324791.91111111111</v>
      </c>
      <c r="F27" s="480">
        <v>11722723.890216606</v>
      </c>
      <c r="G27" s="481">
        <v>1748141.2740256879</v>
      </c>
      <c r="H27" s="482">
        <v>1748141.2740256879</v>
      </c>
      <c r="I27" s="476">
        <f t="shared" si="0"/>
        <v>0</v>
      </c>
      <c r="J27" s="476"/>
      <c r="K27" s="477">
        <f>G27</f>
        <v>1748141.2740256879</v>
      </c>
      <c r="L27" s="551">
        <f t="shared" si="7"/>
        <v>0</v>
      </c>
      <c r="M27" s="477">
        <f>H27</f>
        <v>1748141.2740256879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6"/>
        <v/>
      </c>
      <c r="C28" s="473">
        <f>IF(D11="","-",+C27+1)</f>
        <v>2019</v>
      </c>
      <c r="D28" s="480">
        <v>11722723.890216606</v>
      </c>
      <c r="E28" s="481">
        <v>365390.9</v>
      </c>
      <c r="F28" s="480">
        <v>11357332.990216605</v>
      </c>
      <c r="G28" s="481">
        <v>1653911.6007125233</v>
      </c>
      <c r="H28" s="482">
        <v>1653911.6007125233</v>
      </c>
      <c r="I28" s="476">
        <f t="shared" si="0"/>
        <v>0</v>
      </c>
      <c r="J28" s="476"/>
      <c r="K28" s="477">
        <f>G28</f>
        <v>1653911.6007125233</v>
      </c>
      <c r="L28" s="551">
        <f t="shared" ref="L28" si="10">IF(K28&lt;&gt;0,+G28-K28,0)</f>
        <v>0</v>
      </c>
      <c r="M28" s="477">
        <f>H28</f>
        <v>1653911.6007125233</v>
      </c>
      <c r="N28" s="479">
        <f t="shared" ref="N28" si="11">IF(M28&lt;&gt;0,+H28-M28,0)</f>
        <v>0</v>
      </c>
      <c r="O28" s="479">
        <f t="shared" ref="O28" si="12">+N28-L28</f>
        <v>0</v>
      </c>
      <c r="P28" s="243"/>
    </row>
    <row r="29" spans="2:16" ht="12.5">
      <c r="B29" s="160" t="str">
        <f t="shared" si="6"/>
        <v/>
      </c>
      <c r="C29" s="473">
        <f>IF(D11="","-",+C28+1)</f>
        <v>2020</v>
      </c>
      <c r="D29" s="486">
        <f>IF(F28+SUM(E$17:E28)=D$10,F28,D$10-SUM(E$17:E28))</f>
        <v>11357332.990216605</v>
      </c>
      <c r="E29" s="485">
        <f>IF(+I14&lt;F28,I14,D29)</f>
        <v>324791.91111111111</v>
      </c>
      <c r="F29" s="486">
        <f t="shared" ref="F29:F72" si="13">+D29-E29</f>
        <v>11032541.079105495</v>
      </c>
      <c r="G29" s="487">
        <f t="shared" ref="G29:G72" si="14">ROUND(I$12*F29,0)+E29</f>
        <v>1817884.9111111111</v>
      </c>
      <c r="H29" s="456">
        <f t="shared" ref="H29:H72" si="15">ROUND(I$13*F29,0)+E29</f>
        <v>1817884.9111111111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2021</v>
      </c>
      <c r="D30" s="486">
        <f>IF(F29+SUM(E$17:E29)=D$10,F29,D$10-SUM(E$17:E29))</f>
        <v>11032541.079105495</v>
      </c>
      <c r="E30" s="485">
        <f>IF(+I14&lt;F29,I14,D30)</f>
        <v>324791.91111111111</v>
      </c>
      <c r="F30" s="486">
        <f t="shared" si="13"/>
        <v>10707749.167994384</v>
      </c>
      <c r="G30" s="487">
        <f t="shared" si="14"/>
        <v>1773929.9111111111</v>
      </c>
      <c r="H30" s="456">
        <f t="shared" si="15"/>
        <v>1773929.9111111111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2022</v>
      </c>
      <c r="D31" s="486">
        <f>IF(F30+SUM(E$17:E30)=D$10,F30,D$10-SUM(E$17:E30))</f>
        <v>10707749.167994384</v>
      </c>
      <c r="E31" s="485">
        <f>IF(+I14&lt;F30,I14,D31)</f>
        <v>324791.91111111111</v>
      </c>
      <c r="F31" s="486">
        <f t="shared" si="13"/>
        <v>10382957.256883273</v>
      </c>
      <c r="G31" s="487">
        <f t="shared" si="14"/>
        <v>1729973.9111111111</v>
      </c>
      <c r="H31" s="456">
        <f t="shared" si="15"/>
        <v>1729973.9111111111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2023</v>
      </c>
      <c r="D32" s="486">
        <f>IF(F31+SUM(E$17:E31)=D$10,F31,D$10-SUM(E$17:E31))</f>
        <v>10382957.256883273</v>
      </c>
      <c r="E32" s="485">
        <f>IF(+I14&lt;F31,I14,D32)</f>
        <v>324791.91111111111</v>
      </c>
      <c r="F32" s="486">
        <f t="shared" si="13"/>
        <v>10058165.345772162</v>
      </c>
      <c r="G32" s="487">
        <f t="shared" si="14"/>
        <v>1686017.9111111111</v>
      </c>
      <c r="H32" s="456">
        <f t="shared" si="15"/>
        <v>1686017.9111111111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2024</v>
      </c>
      <c r="D33" s="486">
        <f>IF(F32+SUM(E$17:E32)=D$10,F32,D$10-SUM(E$17:E32))</f>
        <v>10058165.345772162</v>
      </c>
      <c r="E33" s="485">
        <f>IF(+I14&lt;F32,I14,D33)</f>
        <v>324791.91111111111</v>
      </c>
      <c r="F33" s="486">
        <f t="shared" si="13"/>
        <v>9733373.4346610513</v>
      </c>
      <c r="G33" s="487">
        <f t="shared" si="14"/>
        <v>1642061.9111111111</v>
      </c>
      <c r="H33" s="456">
        <f t="shared" si="15"/>
        <v>1642061.9111111111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2025</v>
      </c>
      <c r="D34" s="486">
        <f>IF(F33+SUM(E$17:E33)=D$10,F33,D$10-SUM(E$17:E33))</f>
        <v>9733373.4346610513</v>
      </c>
      <c r="E34" s="485">
        <f>IF(+I14&lt;F33,I14,D34)</f>
        <v>324791.91111111111</v>
      </c>
      <c r="F34" s="486">
        <f t="shared" si="13"/>
        <v>9408581.5235499404</v>
      </c>
      <c r="G34" s="487">
        <f t="shared" si="14"/>
        <v>1598105.9111111111</v>
      </c>
      <c r="H34" s="456">
        <f t="shared" si="15"/>
        <v>1598105.9111111111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2026</v>
      </c>
      <c r="D35" s="486">
        <f>IF(F34+SUM(E$17:E34)=D$10,F34,D$10-SUM(E$17:E34))</f>
        <v>9408581.5235499404</v>
      </c>
      <c r="E35" s="485">
        <f>IF(+I14&lt;F34,I14,D35)</f>
        <v>324791.91111111111</v>
      </c>
      <c r="F35" s="486">
        <f t="shared" si="13"/>
        <v>9083789.6124388296</v>
      </c>
      <c r="G35" s="487">
        <f t="shared" si="14"/>
        <v>1554149.9111111111</v>
      </c>
      <c r="H35" s="456">
        <f t="shared" si="15"/>
        <v>1554149.9111111111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2027</v>
      </c>
      <c r="D36" s="486">
        <f>IF(F35+SUM(E$17:E35)=D$10,F35,D$10-SUM(E$17:E35))</f>
        <v>9083789.6124388296</v>
      </c>
      <c r="E36" s="485">
        <f>IF(+I14&lt;F35,I14,D36)</f>
        <v>324791.91111111111</v>
      </c>
      <c r="F36" s="486">
        <f t="shared" si="13"/>
        <v>8758997.7013277188</v>
      </c>
      <c r="G36" s="487">
        <f t="shared" si="14"/>
        <v>1510194.9111111111</v>
      </c>
      <c r="H36" s="456">
        <f t="shared" si="15"/>
        <v>1510194.9111111111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2028</v>
      </c>
      <c r="D37" s="486">
        <f>IF(F36+SUM(E$17:E36)=D$10,F36,D$10-SUM(E$17:E36))</f>
        <v>8758997.7013277188</v>
      </c>
      <c r="E37" s="485">
        <f>IF(+I14&lt;F36,I14,D37)</f>
        <v>324791.91111111111</v>
      </c>
      <c r="F37" s="486">
        <f t="shared" si="13"/>
        <v>8434205.790216608</v>
      </c>
      <c r="G37" s="487">
        <f t="shared" si="14"/>
        <v>1466238.9111111111</v>
      </c>
      <c r="H37" s="456">
        <f t="shared" si="15"/>
        <v>1466238.9111111111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2029</v>
      </c>
      <c r="D38" s="486">
        <f>IF(F37+SUM(E$17:E37)=D$10,F37,D$10-SUM(E$17:E37))</f>
        <v>8434205.790216608</v>
      </c>
      <c r="E38" s="485">
        <f>IF(+I14&lt;F37,I14,D38)</f>
        <v>324791.91111111111</v>
      </c>
      <c r="F38" s="486">
        <f t="shared" si="13"/>
        <v>8109413.8791054972</v>
      </c>
      <c r="G38" s="487">
        <f t="shared" si="14"/>
        <v>1422282.9111111111</v>
      </c>
      <c r="H38" s="456">
        <f t="shared" si="15"/>
        <v>1422282.9111111111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2030</v>
      </c>
      <c r="D39" s="486">
        <f>IF(F38+SUM(E$17:E38)=D$10,F38,D$10-SUM(E$17:E38))</f>
        <v>8109413.8791054972</v>
      </c>
      <c r="E39" s="485">
        <f>IF(+I14&lt;F38,I14,D39)</f>
        <v>324791.91111111111</v>
      </c>
      <c r="F39" s="486">
        <f t="shared" si="13"/>
        <v>7784621.9679943863</v>
      </c>
      <c r="G39" s="487">
        <f t="shared" si="14"/>
        <v>1378326.9111111111</v>
      </c>
      <c r="H39" s="456">
        <f t="shared" si="15"/>
        <v>1378326.9111111111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2031</v>
      </c>
      <c r="D40" s="486">
        <f>IF(F39+SUM(E$17:E39)=D$10,F39,D$10-SUM(E$17:E39))</f>
        <v>7784621.9679943863</v>
      </c>
      <c r="E40" s="485">
        <f>IF(+I14&lt;F39,I14,D40)</f>
        <v>324791.91111111111</v>
      </c>
      <c r="F40" s="486">
        <f t="shared" si="13"/>
        <v>7459830.0568832755</v>
      </c>
      <c r="G40" s="487">
        <f t="shared" si="14"/>
        <v>1334370.9111111111</v>
      </c>
      <c r="H40" s="456">
        <f t="shared" si="15"/>
        <v>1334370.9111111111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2032</v>
      </c>
      <c r="D41" s="486">
        <f>IF(F40+SUM(E$17:E40)=D$10,F40,D$10-SUM(E$17:E40))</f>
        <v>7459830.0568832755</v>
      </c>
      <c r="E41" s="485">
        <f>IF(+I14&lt;F40,I14,D41)</f>
        <v>324791.91111111111</v>
      </c>
      <c r="F41" s="486">
        <f t="shared" si="13"/>
        <v>7135038.1457721647</v>
      </c>
      <c r="G41" s="487">
        <f t="shared" si="14"/>
        <v>1290414.9111111111</v>
      </c>
      <c r="H41" s="456">
        <f t="shared" si="15"/>
        <v>1290414.9111111111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2033</v>
      </c>
      <c r="D42" s="486">
        <f>IF(F41+SUM(E$17:E41)=D$10,F41,D$10-SUM(E$17:E41))</f>
        <v>7135038.1457721647</v>
      </c>
      <c r="E42" s="485">
        <f>IF(+I14&lt;F41,I14,D42)</f>
        <v>324791.91111111111</v>
      </c>
      <c r="F42" s="486">
        <f t="shared" si="13"/>
        <v>6810246.2346610539</v>
      </c>
      <c r="G42" s="487">
        <f t="shared" si="14"/>
        <v>1246458.9111111111</v>
      </c>
      <c r="H42" s="456">
        <f t="shared" si="15"/>
        <v>1246458.9111111111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2034</v>
      </c>
      <c r="D43" s="486">
        <f>IF(F42+SUM(E$17:E42)=D$10,F42,D$10-SUM(E$17:E42))</f>
        <v>6810246.2346610539</v>
      </c>
      <c r="E43" s="485">
        <f>IF(+I14&lt;F42,I14,D43)</f>
        <v>324791.91111111111</v>
      </c>
      <c r="F43" s="486">
        <f t="shared" si="13"/>
        <v>6485454.323549943</v>
      </c>
      <c r="G43" s="487">
        <f t="shared" si="14"/>
        <v>1202503.9111111111</v>
      </c>
      <c r="H43" s="456">
        <f t="shared" si="15"/>
        <v>1202503.9111111111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2035</v>
      </c>
      <c r="D44" s="486">
        <f>IF(F43+SUM(E$17:E43)=D$10,F43,D$10-SUM(E$17:E43))</f>
        <v>6485454.323549943</v>
      </c>
      <c r="E44" s="485">
        <f>IF(+I14&lt;F43,I14,D44)</f>
        <v>324791.91111111111</v>
      </c>
      <c r="F44" s="486">
        <f t="shared" si="13"/>
        <v>6160662.4124388322</v>
      </c>
      <c r="G44" s="487">
        <f t="shared" si="14"/>
        <v>1158547.9111111111</v>
      </c>
      <c r="H44" s="456">
        <f t="shared" si="15"/>
        <v>1158547.9111111111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2036</v>
      </c>
      <c r="D45" s="486">
        <f>IF(F44+SUM(E$17:E44)=D$10,F44,D$10-SUM(E$17:E44))</f>
        <v>6160662.4124388322</v>
      </c>
      <c r="E45" s="485">
        <f>IF(+I14&lt;F44,I14,D45)</f>
        <v>324791.91111111111</v>
      </c>
      <c r="F45" s="486">
        <f t="shared" si="13"/>
        <v>5835870.5013277214</v>
      </c>
      <c r="G45" s="487">
        <f t="shared" si="14"/>
        <v>1114591.9111111111</v>
      </c>
      <c r="H45" s="456">
        <f t="shared" si="15"/>
        <v>1114591.9111111111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2037</v>
      </c>
      <c r="D46" s="486">
        <f>IF(F45+SUM(E$17:E45)=D$10,F45,D$10-SUM(E$17:E45))</f>
        <v>5835870.5013277214</v>
      </c>
      <c r="E46" s="485">
        <f>IF(+I14&lt;F45,I14,D46)</f>
        <v>324791.91111111111</v>
      </c>
      <c r="F46" s="486">
        <f t="shared" si="13"/>
        <v>5511078.5902166106</v>
      </c>
      <c r="G46" s="487">
        <f t="shared" si="14"/>
        <v>1070635.9111111111</v>
      </c>
      <c r="H46" s="456">
        <f t="shared" si="15"/>
        <v>1070635.9111111111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2038</v>
      </c>
      <c r="D47" s="486">
        <f>IF(F46+SUM(E$17:E46)=D$10,F46,D$10-SUM(E$17:E46))</f>
        <v>5511078.5902166106</v>
      </c>
      <c r="E47" s="485">
        <f>IF(+I14&lt;F46,I14,D47)</f>
        <v>324791.91111111111</v>
      </c>
      <c r="F47" s="486">
        <f t="shared" si="13"/>
        <v>5186286.6791054998</v>
      </c>
      <c r="G47" s="487">
        <f t="shared" si="14"/>
        <v>1026679.9111111111</v>
      </c>
      <c r="H47" s="456">
        <f t="shared" si="15"/>
        <v>1026679.9111111111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2039</v>
      </c>
      <c r="D48" s="486">
        <f>IF(F47+SUM(E$17:E47)=D$10,F47,D$10-SUM(E$17:E47))</f>
        <v>5186286.6791054998</v>
      </c>
      <c r="E48" s="485">
        <f>IF(+I14&lt;F47,I14,D48)</f>
        <v>324791.91111111111</v>
      </c>
      <c r="F48" s="486">
        <f t="shared" si="13"/>
        <v>4861494.7679943889</v>
      </c>
      <c r="G48" s="487">
        <f t="shared" si="14"/>
        <v>982723.91111111105</v>
      </c>
      <c r="H48" s="456">
        <f t="shared" si="15"/>
        <v>982723.91111111105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2040</v>
      </c>
      <c r="D49" s="486">
        <f>IF(F48+SUM(E$17:E48)=D$10,F48,D$10-SUM(E$17:E48))</f>
        <v>4861494.7679943889</v>
      </c>
      <c r="E49" s="485">
        <f>IF(+I14&lt;F48,I14,D49)</f>
        <v>324791.91111111111</v>
      </c>
      <c r="F49" s="486">
        <f t="shared" si="13"/>
        <v>4536702.8568832781</v>
      </c>
      <c r="G49" s="487">
        <f t="shared" si="14"/>
        <v>938768.91111111105</v>
      </c>
      <c r="H49" s="456">
        <f t="shared" si="15"/>
        <v>938768.91111111105</v>
      </c>
      <c r="I49" s="476">
        <f t="shared" ref="I49:I72" si="16">H49-G49</f>
        <v>0</v>
      </c>
      <c r="J49" s="476"/>
      <c r="K49" s="488"/>
      <c r="L49" s="479">
        <f t="shared" ref="L49:L72" si="17">IF(K49&lt;&gt;0,+G49-K49,0)</f>
        <v>0</v>
      </c>
      <c r="M49" s="488"/>
      <c r="N49" s="479">
        <f t="shared" ref="N49:N72" si="18">IF(M49&lt;&gt;0,+H49-M49,0)</f>
        <v>0</v>
      </c>
      <c r="O49" s="479">
        <f t="shared" ref="O49:O72" si="19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2041</v>
      </c>
      <c r="D50" s="486">
        <f>IF(F49+SUM(E$17:E49)=D$10,F49,D$10-SUM(E$17:E49))</f>
        <v>4536702.8568832781</v>
      </c>
      <c r="E50" s="485">
        <f>IF(+I14&lt;F49,I14,D50)</f>
        <v>324791.91111111111</v>
      </c>
      <c r="F50" s="486">
        <f t="shared" si="13"/>
        <v>4211910.9457721673</v>
      </c>
      <c r="G50" s="487">
        <f t="shared" si="14"/>
        <v>894812.91111111105</v>
      </c>
      <c r="H50" s="456">
        <f t="shared" si="15"/>
        <v>894812.91111111105</v>
      </c>
      <c r="I50" s="476">
        <f t="shared" si="16"/>
        <v>0</v>
      </c>
      <c r="J50" s="476"/>
      <c r="K50" s="488"/>
      <c r="L50" s="479">
        <f t="shared" si="17"/>
        <v>0</v>
      </c>
      <c r="M50" s="488"/>
      <c r="N50" s="479">
        <f t="shared" si="18"/>
        <v>0</v>
      </c>
      <c r="O50" s="479">
        <f t="shared" si="19"/>
        <v>0</v>
      </c>
      <c r="P50" s="243"/>
    </row>
    <row r="51" spans="2:16" ht="12.5">
      <c r="B51" s="160" t="str">
        <f t="shared" si="6"/>
        <v/>
      </c>
      <c r="C51" s="473">
        <f>IF(D11="","-",+C50+1)</f>
        <v>2042</v>
      </c>
      <c r="D51" s="486">
        <f>IF(F50+SUM(E$17:E50)=D$10,F50,D$10-SUM(E$17:E50))</f>
        <v>4211910.9457721673</v>
      </c>
      <c r="E51" s="485">
        <f>IF(+I14&lt;F50,I14,D51)</f>
        <v>324791.91111111111</v>
      </c>
      <c r="F51" s="486">
        <f t="shared" si="13"/>
        <v>3887119.034661056</v>
      </c>
      <c r="G51" s="487">
        <f t="shared" si="14"/>
        <v>850856.91111111105</v>
      </c>
      <c r="H51" s="456">
        <f t="shared" si="15"/>
        <v>850856.91111111105</v>
      </c>
      <c r="I51" s="476">
        <f t="shared" si="16"/>
        <v>0</v>
      </c>
      <c r="J51" s="476"/>
      <c r="K51" s="488"/>
      <c r="L51" s="479">
        <f t="shared" si="17"/>
        <v>0</v>
      </c>
      <c r="M51" s="488"/>
      <c r="N51" s="479">
        <f t="shared" si="18"/>
        <v>0</v>
      </c>
      <c r="O51" s="479">
        <f t="shared" si="19"/>
        <v>0</v>
      </c>
      <c r="P51" s="243"/>
    </row>
    <row r="52" spans="2:16" ht="12.5">
      <c r="B52" s="160" t="str">
        <f t="shared" si="6"/>
        <v/>
      </c>
      <c r="C52" s="473">
        <f>IF(D11="","-",+C51+1)</f>
        <v>2043</v>
      </c>
      <c r="D52" s="486">
        <f>IF(F51+SUM(E$17:E51)=D$10,F51,D$10-SUM(E$17:E51))</f>
        <v>3887119.034661056</v>
      </c>
      <c r="E52" s="485">
        <f>IF(+I14&lt;F51,I14,D52)</f>
        <v>324791.91111111111</v>
      </c>
      <c r="F52" s="486">
        <f t="shared" si="13"/>
        <v>3562327.1235499447</v>
      </c>
      <c r="G52" s="487">
        <f t="shared" si="14"/>
        <v>806900.91111111105</v>
      </c>
      <c r="H52" s="456">
        <f t="shared" si="15"/>
        <v>806900.91111111105</v>
      </c>
      <c r="I52" s="476">
        <f t="shared" si="16"/>
        <v>0</v>
      </c>
      <c r="J52" s="476"/>
      <c r="K52" s="488"/>
      <c r="L52" s="479">
        <f t="shared" si="17"/>
        <v>0</v>
      </c>
      <c r="M52" s="488"/>
      <c r="N52" s="479">
        <f t="shared" si="18"/>
        <v>0</v>
      </c>
      <c r="O52" s="479">
        <f t="shared" si="19"/>
        <v>0</v>
      </c>
      <c r="P52" s="243"/>
    </row>
    <row r="53" spans="2:16" ht="12.5">
      <c r="B53" s="160" t="str">
        <f t="shared" si="6"/>
        <v/>
      </c>
      <c r="C53" s="473">
        <f>IF(D11="","-",+C52+1)</f>
        <v>2044</v>
      </c>
      <c r="D53" s="486">
        <f>IF(F52+SUM(E$17:E52)=D$10,F52,D$10-SUM(E$17:E52))</f>
        <v>3562327.1235499447</v>
      </c>
      <c r="E53" s="485">
        <f>IF(+I14&lt;F52,I14,D53)</f>
        <v>324791.91111111111</v>
      </c>
      <c r="F53" s="486">
        <f t="shared" si="13"/>
        <v>3237535.2124388334</v>
      </c>
      <c r="G53" s="487">
        <f t="shared" si="14"/>
        <v>762944.91111111105</v>
      </c>
      <c r="H53" s="456">
        <f t="shared" si="15"/>
        <v>762944.91111111105</v>
      </c>
      <c r="I53" s="476">
        <f t="shared" si="16"/>
        <v>0</v>
      </c>
      <c r="J53" s="476"/>
      <c r="K53" s="488"/>
      <c r="L53" s="479">
        <f t="shared" si="17"/>
        <v>0</v>
      </c>
      <c r="M53" s="488"/>
      <c r="N53" s="479">
        <f t="shared" si="18"/>
        <v>0</v>
      </c>
      <c r="O53" s="479">
        <f t="shared" si="19"/>
        <v>0</v>
      </c>
      <c r="P53" s="243"/>
    </row>
    <row r="54" spans="2:16" ht="12.5">
      <c r="B54" s="160" t="str">
        <f t="shared" si="6"/>
        <v/>
      </c>
      <c r="C54" s="473">
        <f>IF(D11="","-",+C53+1)</f>
        <v>2045</v>
      </c>
      <c r="D54" s="486">
        <f>IF(F53+SUM(E$17:E53)=D$10,F53,D$10-SUM(E$17:E53))</f>
        <v>3237535.2124388334</v>
      </c>
      <c r="E54" s="485">
        <f>IF(+I14&lt;F53,I14,D54)</f>
        <v>324791.91111111111</v>
      </c>
      <c r="F54" s="486">
        <f t="shared" si="13"/>
        <v>2912743.3013277221</v>
      </c>
      <c r="G54" s="487">
        <f t="shared" si="14"/>
        <v>718988.91111111105</v>
      </c>
      <c r="H54" s="456">
        <f t="shared" si="15"/>
        <v>718988.91111111105</v>
      </c>
      <c r="I54" s="476">
        <f t="shared" si="16"/>
        <v>0</v>
      </c>
      <c r="J54" s="476"/>
      <c r="K54" s="488"/>
      <c r="L54" s="479">
        <f t="shared" si="17"/>
        <v>0</v>
      </c>
      <c r="M54" s="488"/>
      <c r="N54" s="479">
        <f t="shared" si="18"/>
        <v>0</v>
      </c>
      <c r="O54" s="479">
        <f t="shared" si="19"/>
        <v>0</v>
      </c>
      <c r="P54" s="243"/>
    </row>
    <row r="55" spans="2:16" ht="12.5">
      <c r="B55" s="160" t="str">
        <f t="shared" si="6"/>
        <v/>
      </c>
      <c r="C55" s="473">
        <f>IF(D11="","-",+C54+1)</f>
        <v>2046</v>
      </c>
      <c r="D55" s="486">
        <f>IF(F54+SUM(E$17:E54)=D$10,F54,D$10-SUM(E$17:E54))</f>
        <v>2912743.3013277221</v>
      </c>
      <c r="E55" s="485">
        <f>IF(+I14&lt;F54,I14,D55)</f>
        <v>324791.91111111111</v>
      </c>
      <c r="F55" s="486">
        <f t="shared" si="13"/>
        <v>2587951.3902166109</v>
      </c>
      <c r="G55" s="487">
        <f t="shared" si="14"/>
        <v>675032.91111111105</v>
      </c>
      <c r="H55" s="456">
        <f t="shared" si="15"/>
        <v>675032.91111111105</v>
      </c>
      <c r="I55" s="476">
        <f t="shared" si="16"/>
        <v>0</v>
      </c>
      <c r="J55" s="476"/>
      <c r="K55" s="488"/>
      <c r="L55" s="479">
        <f t="shared" si="17"/>
        <v>0</v>
      </c>
      <c r="M55" s="488"/>
      <c r="N55" s="479">
        <f t="shared" si="18"/>
        <v>0</v>
      </c>
      <c r="O55" s="479">
        <f t="shared" si="19"/>
        <v>0</v>
      </c>
      <c r="P55" s="243"/>
    </row>
    <row r="56" spans="2:16" ht="12.5">
      <c r="B56" s="160" t="str">
        <f t="shared" si="6"/>
        <v/>
      </c>
      <c r="C56" s="473">
        <f>IF(D11="","-",+C55+1)</f>
        <v>2047</v>
      </c>
      <c r="D56" s="486">
        <f>IF(F55+SUM(E$17:E55)=D$10,F55,D$10-SUM(E$17:E55))</f>
        <v>2587951.3902166109</v>
      </c>
      <c r="E56" s="485">
        <f>IF(+I14&lt;F55,I14,D56)</f>
        <v>324791.91111111111</v>
      </c>
      <c r="F56" s="486">
        <f t="shared" si="13"/>
        <v>2263159.4791054996</v>
      </c>
      <c r="G56" s="487">
        <f t="shared" si="14"/>
        <v>631077.91111111105</v>
      </c>
      <c r="H56" s="456">
        <f t="shared" si="15"/>
        <v>631077.91111111105</v>
      </c>
      <c r="I56" s="476">
        <f t="shared" si="16"/>
        <v>0</v>
      </c>
      <c r="J56" s="476"/>
      <c r="K56" s="488"/>
      <c r="L56" s="479">
        <f t="shared" si="17"/>
        <v>0</v>
      </c>
      <c r="M56" s="488"/>
      <c r="N56" s="479">
        <f t="shared" si="18"/>
        <v>0</v>
      </c>
      <c r="O56" s="479">
        <f t="shared" si="19"/>
        <v>0</v>
      </c>
      <c r="P56" s="243"/>
    </row>
    <row r="57" spans="2:16" ht="12.5">
      <c r="B57" s="160" t="str">
        <f t="shared" si="6"/>
        <v/>
      </c>
      <c r="C57" s="473">
        <f>IF(D11="","-",+C56+1)</f>
        <v>2048</v>
      </c>
      <c r="D57" s="486">
        <f>IF(F56+SUM(E$17:E56)=D$10,F56,D$10-SUM(E$17:E56))</f>
        <v>2263159.4791054996</v>
      </c>
      <c r="E57" s="485">
        <f>IF(+I14&lt;F56,I14,D57)</f>
        <v>324791.91111111111</v>
      </c>
      <c r="F57" s="486">
        <f t="shared" si="13"/>
        <v>1938367.5679943885</v>
      </c>
      <c r="G57" s="487">
        <f t="shared" si="14"/>
        <v>587121.91111111105</v>
      </c>
      <c r="H57" s="456">
        <f t="shared" si="15"/>
        <v>587121.91111111105</v>
      </c>
      <c r="I57" s="476">
        <f t="shared" si="16"/>
        <v>0</v>
      </c>
      <c r="J57" s="476"/>
      <c r="K57" s="488"/>
      <c r="L57" s="479">
        <f t="shared" si="17"/>
        <v>0</v>
      </c>
      <c r="M57" s="488"/>
      <c r="N57" s="479">
        <f t="shared" si="18"/>
        <v>0</v>
      </c>
      <c r="O57" s="479">
        <f t="shared" si="19"/>
        <v>0</v>
      </c>
      <c r="P57" s="243"/>
    </row>
    <row r="58" spans="2:16" ht="12.5">
      <c r="B58" s="160" t="str">
        <f t="shared" si="6"/>
        <v/>
      </c>
      <c r="C58" s="473">
        <f>IF(D11="","-",+C57+1)</f>
        <v>2049</v>
      </c>
      <c r="D58" s="486">
        <f>IF(F57+SUM(E$17:E57)=D$10,F57,D$10-SUM(E$17:E57))</f>
        <v>1938367.5679943885</v>
      </c>
      <c r="E58" s="485">
        <f>IF(+I14&lt;F57,I14,D58)</f>
        <v>324791.91111111111</v>
      </c>
      <c r="F58" s="486">
        <f t="shared" si="13"/>
        <v>1613575.6568832775</v>
      </c>
      <c r="G58" s="487">
        <f t="shared" si="14"/>
        <v>543165.91111111105</v>
      </c>
      <c r="H58" s="456">
        <f t="shared" si="15"/>
        <v>543165.91111111105</v>
      </c>
      <c r="I58" s="476">
        <f t="shared" si="16"/>
        <v>0</v>
      </c>
      <c r="J58" s="476"/>
      <c r="K58" s="488"/>
      <c r="L58" s="479">
        <f t="shared" si="17"/>
        <v>0</v>
      </c>
      <c r="M58" s="488"/>
      <c r="N58" s="479">
        <f t="shared" si="18"/>
        <v>0</v>
      </c>
      <c r="O58" s="479">
        <f t="shared" si="19"/>
        <v>0</v>
      </c>
      <c r="P58" s="243"/>
    </row>
    <row r="59" spans="2:16" ht="12.5">
      <c r="B59" s="160" t="str">
        <f t="shared" si="6"/>
        <v/>
      </c>
      <c r="C59" s="473">
        <f>IF(D11="","-",+C58+1)</f>
        <v>2050</v>
      </c>
      <c r="D59" s="486">
        <f>IF(F58+SUM(E$17:E58)=D$10,F58,D$10-SUM(E$17:E58))</f>
        <v>1613575.6568832775</v>
      </c>
      <c r="E59" s="485">
        <f>IF(+I14&lt;F58,I14,D59)</f>
        <v>324791.91111111111</v>
      </c>
      <c r="F59" s="486">
        <f t="shared" si="13"/>
        <v>1288783.7457721664</v>
      </c>
      <c r="G59" s="487">
        <f t="shared" si="14"/>
        <v>499209.91111111111</v>
      </c>
      <c r="H59" s="456">
        <f t="shared" si="15"/>
        <v>499209.91111111111</v>
      </c>
      <c r="I59" s="476">
        <f t="shared" si="16"/>
        <v>0</v>
      </c>
      <c r="J59" s="476"/>
      <c r="K59" s="488"/>
      <c r="L59" s="479">
        <f t="shared" si="17"/>
        <v>0</v>
      </c>
      <c r="M59" s="488"/>
      <c r="N59" s="479">
        <f t="shared" si="18"/>
        <v>0</v>
      </c>
      <c r="O59" s="479">
        <f t="shared" si="19"/>
        <v>0</v>
      </c>
      <c r="P59" s="243"/>
    </row>
    <row r="60" spans="2:16" ht="12.5">
      <c r="B60" s="160" t="str">
        <f t="shared" si="6"/>
        <v/>
      </c>
      <c r="C60" s="473">
        <f>IF(D11="","-",+C59+1)</f>
        <v>2051</v>
      </c>
      <c r="D60" s="486">
        <f>IF(F59+SUM(E$17:E59)=D$10,F59,D$10-SUM(E$17:E59))</f>
        <v>1288783.7457721664</v>
      </c>
      <c r="E60" s="485">
        <f>IF(+I14&lt;F59,I14,D60)</f>
        <v>324791.91111111111</v>
      </c>
      <c r="F60" s="486">
        <f t="shared" si="13"/>
        <v>963991.83466105536</v>
      </c>
      <c r="G60" s="487">
        <f t="shared" si="14"/>
        <v>455253.91111111111</v>
      </c>
      <c r="H60" s="456">
        <f t="shared" si="15"/>
        <v>455253.91111111111</v>
      </c>
      <c r="I60" s="476">
        <f t="shared" si="16"/>
        <v>0</v>
      </c>
      <c r="J60" s="476"/>
      <c r="K60" s="488"/>
      <c r="L60" s="479">
        <f t="shared" si="17"/>
        <v>0</v>
      </c>
      <c r="M60" s="488"/>
      <c r="N60" s="479">
        <f t="shared" si="18"/>
        <v>0</v>
      </c>
      <c r="O60" s="479">
        <f t="shared" si="19"/>
        <v>0</v>
      </c>
      <c r="P60" s="243"/>
    </row>
    <row r="61" spans="2:16" ht="12.5">
      <c r="B61" s="160" t="str">
        <f t="shared" si="6"/>
        <v/>
      </c>
      <c r="C61" s="473">
        <f>IF(D11="","-",+C60+1)</f>
        <v>2052</v>
      </c>
      <c r="D61" s="486">
        <f>IF(F60+SUM(E$17:E60)=D$10,F60,D$10-SUM(E$17:E60))</f>
        <v>963991.83466105536</v>
      </c>
      <c r="E61" s="485">
        <f>IF(+I14&lt;F60,I14,D61)</f>
        <v>324791.91111111111</v>
      </c>
      <c r="F61" s="486">
        <f t="shared" si="13"/>
        <v>639199.9235499443</v>
      </c>
      <c r="G61" s="489">
        <f t="shared" si="14"/>
        <v>411297.91111111111</v>
      </c>
      <c r="H61" s="456">
        <f t="shared" si="15"/>
        <v>411297.91111111111</v>
      </c>
      <c r="I61" s="476">
        <f t="shared" si="16"/>
        <v>0</v>
      </c>
      <c r="J61" s="476"/>
      <c r="K61" s="488"/>
      <c r="L61" s="479">
        <f t="shared" si="17"/>
        <v>0</v>
      </c>
      <c r="M61" s="488"/>
      <c r="N61" s="479">
        <f t="shared" si="18"/>
        <v>0</v>
      </c>
      <c r="O61" s="479">
        <f t="shared" si="19"/>
        <v>0</v>
      </c>
      <c r="P61" s="243"/>
    </row>
    <row r="62" spans="2:16" ht="12.5">
      <c r="B62" s="160" t="str">
        <f t="shared" si="6"/>
        <v/>
      </c>
      <c r="C62" s="473">
        <f>IF(D11="","-",+C61+1)</f>
        <v>2053</v>
      </c>
      <c r="D62" s="486">
        <f>IF(F61+SUM(E$17:E61)=D$10,F61,D$10-SUM(E$17:E61))</f>
        <v>639199.9235499443</v>
      </c>
      <c r="E62" s="485">
        <f>IF(+I14&lt;F61,I14,D62)</f>
        <v>324791.91111111111</v>
      </c>
      <c r="F62" s="486">
        <f t="shared" si="13"/>
        <v>314408.01243883319</v>
      </c>
      <c r="G62" s="489">
        <f t="shared" si="14"/>
        <v>367342.91111111111</v>
      </c>
      <c r="H62" s="456">
        <f t="shared" si="15"/>
        <v>367342.91111111111</v>
      </c>
      <c r="I62" s="476">
        <f t="shared" si="16"/>
        <v>0</v>
      </c>
      <c r="J62" s="476"/>
      <c r="K62" s="488"/>
      <c r="L62" s="479">
        <f t="shared" si="17"/>
        <v>0</v>
      </c>
      <c r="M62" s="488"/>
      <c r="N62" s="479">
        <f t="shared" si="18"/>
        <v>0</v>
      </c>
      <c r="O62" s="479">
        <f t="shared" si="19"/>
        <v>0</v>
      </c>
      <c r="P62" s="243"/>
    </row>
    <row r="63" spans="2:16" ht="12.5">
      <c r="B63" s="160" t="str">
        <f t="shared" si="6"/>
        <v/>
      </c>
      <c r="C63" s="473">
        <f>IF(D11="","-",+C62+1)</f>
        <v>2054</v>
      </c>
      <c r="D63" s="486">
        <f>IF(F62+SUM(E$17:E62)=D$10,F62,D$10-SUM(E$17:E62))</f>
        <v>314408.01243883319</v>
      </c>
      <c r="E63" s="485">
        <f>IF(+I14&lt;F62,I14,D63)</f>
        <v>314408.01243883319</v>
      </c>
      <c r="F63" s="486">
        <f t="shared" si="13"/>
        <v>0</v>
      </c>
      <c r="G63" s="489">
        <f t="shared" si="14"/>
        <v>314408.01243883319</v>
      </c>
      <c r="H63" s="456">
        <f t="shared" si="15"/>
        <v>314408.01243883319</v>
      </c>
      <c r="I63" s="476">
        <f t="shared" si="16"/>
        <v>0</v>
      </c>
      <c r="J63" s="476"/>
      <c r="K63" s="488"/>
      <c r="L63" s="479">
        <f t="shared" si="17"/>
        <v>0</v>
      </c>
      <c r="M63" s="488"/>
      <c r="N63" s="479">
        <f t="shared" si="18"/>
        <v>0</v>
      </c>
      <c r="O63" s="479">
        <f t="shared" si="19"/>
        <v>0</v>
      </c>
      <c r="P63" s="243"/>
    </row>
    <row r="64" spans="2:16" ht="12.5">
      <c r="B64" s="160" t="str">
        <f t="shared" si="6"/>
        <v/>
      </c>
      <c r="C64" s="473">
        <f>IF(D11="","-",+C63+1)</f>
        <v>2055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3"/>
        <v>0</v>
      </c>
      <c r="G64" s="489">
        <f t="shared" si="14"/>
        <v>0</v>
      </c>
      <c r="H64" s="456">
        <f t="shared" si="15"/>
        <v>0</v>
      </c>
      <c r="I64" s="476">
        <f t="shared" si="16"/>
        <v>0</v>
      </c>
      <c r="J64" s="476"/>
      <c r="K64" s="488"/>
      <c r="L64" s="479">
        <f t="shared" si="17"/>
        <v>0</v>
      </c>
      <c r="M64" s="488"/>
      <c r="N64" s="479">
        <f t="shared" si="18"/>
        <v>0</v>
      </c>
      <c r="O64" s="479">
        <f t="shared" si="19"/>
        <v>0</v>
      </c>
      <c r="P64" s="243"/>
    </row>
    <row r="65" spans="2:16" ht="12.5">
      <c r="B65" s="160" t="str">
        <f t="shared" si="6"/>
        <v/>
      </c>
      <c r="C65" s="473">
        <f>IF(D11="","-",+C64+1)</f>
        <v>2056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3"/>
        <v>0</v>
      </c>
      <c r="G65" s="489">
        <f t="shared" si="14"/>
        <v>0</v>
      </c>
      <c r="H65" s="456">
        <f t="shared" si="15"/>
        <v>0</v>
      </c>
      <c r="I65" s="476">
        <f t="shared" si="16"/>
        <v>0</v>
      </c>
      <c r="J65" s="476"/>
      <c r="K65" s="488"/>
      <c r="L65" s="479">
        <f t="shared" si="17"/>
        <v>0</v>
      </c>
      <c r="M65" s="488"/>
      <c r="N65" s="479">
        <f t="shared" si="18"/>
        <v>0</v>
      </c>
      <c r="O65" s="479">
        <f t="shared" si="19"/>
        <v>0</v>
      </c>
      <c r="P65" s="243"/>
    </row>
    <row r="66" spans="2:16" ht="12.5">
      <c r="B66" s="160" t="str">
        <f t="shared" si="6"/>
        <v/>
      </c>
      <c r="C66" s="473">
        <f>IF(D11="","-",+C65+1)</f>
        <v>2057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3"/>
        <v>0</v>
      </c>
      <c r="G66" s="489">
        <f t="shared" si="14"/>
        <v>0</v>
      </c>
      <c r="H66" s="456">
        <f t="shared" si="15"/>
        <v>0</v>
      </c>
      <c r="I66" s="476">
        <f t="shared" si="16"/>
        <v>0</v>
      </c>
      <c r="J66" s="476"/>
      <c r="K66" s="488"/>
      <c r="L66" s="479">
        <f t="shared" si="17"/>
        <v>0</v>
      </c>
      <c r="M66" s="488"/>
      <c r="N66" s="479">
        <f t="shared" si="18"/>
        <v>0</v>
      </c>
      <c r="O66" s="479">
        <f t="shared" si="19"/>
        <v>0</v>
      </c>
      <c r="P66" s="243"/>
    </row>
    <row r="67" spans="2:16" ht="12.5">
      <c r="B67" s="160" t="str">
        <f t="shared" si="6"/>
        <v/>
      </c>
      <c r="C67" s="473">
        <f>IF(D11="","-",+C66+1)</f>
        <v>2058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3"/>
        <v>0</v>
      </c>
      <c r="G67" s="489">
        <f t="shared" si="14"/>
        <v>0</v>
      </c>
      <c r="H67" s="456">
        <f t="shared" si="15"/>
        <v>0</v>
      </c>
      <c r="I67" s="476">
        <f t="shared" si="16"/>
        <v>0</v>
      </c>
      <c r="J67" s="476"/>
      <c r="K67" s="488"/>
      <c r="L67" s="479">
        <f t="shared" si="17"/>
        <v>0</v>
      </c>
      <c r="M67" s="488"/>
      <c r="N67" s="479">
        <f t="shared" si="18"/>
        <v>0</v>
      </c>
      <c r="O67" s="479">
        <f t="shared" si="19"/>
        <v>0</v>
      </c>
      <c r="P67" s="243"/>
    </row>
    <row r="68" spans="2:16" ht="12.5">
      <c r="B68" s="160" t="str">
        <f t="shared" si="6"/>
        <v/>
      </c>
      <c r="C68" s="473">
        <f>IF(D11="","-",+C67+1)</f>
        <v>2059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3"/>
        <v>0</v>
      </c>
      <c r="G68" s="489">
        <f t="shared" si="14"/>
        <v>0</v>
      </c>
      <c r="H68" s="456">
        <f t="shared" si="15"/>
        <v>0</v>
      </c>
      <c r="I68" s="476">
        <f t="shared" si="16"/>
        <v>0</v>
      </c>
      <c r="J68" s="476"/>
      <c r="K68" s="488"/>
      <c r="L68" s="479">
        <f t="shared" si="17"/>
        <v>0</v>
      </c>
      <c r="M68" s="488"/>
      <c r="N68" s="479">
        <f t="shared" si="18"/>
        <v>0</v>
      </c>
      <c r="O68" s="479">
        <f t="shared" si="19"/>
        <v>0</v>
      </c>
      <c r="P68" s="243"/>
    </row>
    <row r="69" spans="2:16" ht="12.5">
      <c r="B69" s="160" t="str">
        <f t="shared" si="6"/>
        <v/>
      </c>
      <c r="C69" s="473">
        <f>IF(D11="","-",+C68+1)</f>
        <v>2060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3"/>
        <v>0</v>
      </c>
      <c r="G69" s="489">
        <f t="shared" si="14"/>
        <v>0</v>
      </c>
      <c r="H69" s="456">
        <f t="shared" si="15"/>
        <v>0</v>
      </c>
      <c r="I69" s="476">
        <f t="shared" si="16"/>
        <v>0</v>
      </c>
      <c r="J69" s="476"/>
      <c r="K69" s="488"/>
      <c r="L69" s="479">
        <f t="shared" si="17"/>
        <v>0</v>
      </c>
      <c r="M69" s="488"/>
      <c r="N69" s="479">
        <f t="shared" si="18"/>
        <v>0</v>
      </c>
      <c r="O69" s="479">
        <f t="shared" si="19"/>
        <v>0</v>
      </c>
      <c r="P69" s="243"/>
    </row>
    <row r="70" spans="2:16" ht="12.5">
      <c r="B70" s="160" t="str">
        <f t="shared" si="6"/>
        <v/>
      </c>
      <c r="C70" s="473">
        <f>IF(D11="","-",+C69+1)</f>
        <v>2061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3"/>
        <v>0</v>
      </c>
      <c r="G70" s="489">
        <f t="shared" si="14"/>
        <v>0</v>
      </c>
      <c r="H70" s="456">
        <f t="shared" si="15"/>
        <v>0</v>
      </c>
      <c r="I70" s="476">
        <f t="shared" si="16"/>
        <v>0</v>
      </c>
      <c r="J70" s="476"/>
      <c r="K70" s="488"/>
      <c r="L70" s="479">
        <f t="shared" si="17"/>
        <v>0</v>
      </c>
      <c r="M70" s="488"/>
      <c r="N70" s="479">
        <f t="shared" si="18"/>
        <v>0</v>
      </c>
      <c r="O70" s="479">
        <f t="shared" si="19"/>
        <v>0</v>
      </c>
      <c r="P70" s="243"/>
    </row>
    <row r="71" spans="2:16" ht="12.5">
      <c r="B71" s="160" t="str">
        <f t="shared" si="6"/>
        <v/>
      </c>
      <c r="C71" s="473">
        <f>IF(D11="","-",+C70+1)</f>
        <v>2062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3"/>
        <v>0</v>
      </c>
      <c r="G71" s="489">
        <f t="shared" si="14"/>
        <v>0</v>
      </c>
      <c r="H71" s="456">
        <f t="shared" si="15"/>
        <v>0</v>
      </c>
      <c r="I71" s="476">
        <f t="shared" si="16"/>
        <v>0</v>
      </c>
      <c r="J71" s="476"/>
      <c r="K71" s="488"/>
      <c r="L71" s="479">
        <f t="shared" si="17"/>
        <v>0</v>
      </c>
      <c r="M71" s="488"/>
      <c r="N71" s="479">
        <f t="shared" si="18"/>
        <v>0</v>
      </c>
      <c r="O71" s="479">
        <f t="shared" si="19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2063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3"/>
        <v>0</v>
      </c>
      <c r="G72" s="493">
        <f t="shared" si="14"/>
        <v>0</v>
      </c>
      <c r="H72" s="436">
        <f t="shared" si="15"/>
        <v>0</v>
      </c>
      <c r="I72" s="494">
        <f t="shared" si="16"/>
        <v>0</v>
      </c>
      <c r="J72" s="476"/>
      <c r="K72" s="495"/>
      <c r="L72" s="496">
        <f t="shared" si="17"/>
        <v>0</v>
      </c>
      <c r="M72" s="495"/>
      <c r="N72" s="496">
        <f t="shared" si="18"/>
        <v>0</v>
      </c>
      <c r="O72" s="496">
        <f t="shared" si="19"/>
        <v>0</v>
      </c>
      <c r="P72" s="243"/>
    </row>
    <row r="73" spans="2:16" ht="12.5">
      <c r="C73" s="347" t="s">
        <v>77</v>
      </c>
      <c r="D73" s="348"/>
      <c r="E73" s="348">
        <f>SUM(E17:E72)</f>
        <v>14615635.999999993</v>
      </c>
      <c r="F73" s="348"/>
      <c r="G73" s="348">
        <f>SUM(G17:G72)</f>
        <v>60432809.063627049</v>
      </c>
      <c r="H73" s="348">
        <f>SUM(H17:H72)</f>
        <v>60432809.063627049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4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 t="str">
        <f>O4</f>
        <v>WFEC DA Adjustment</v>
      </c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IF(J92&lt;D11,0,VLOOKUP(J92,C17:O72,9))-P87</f>
        <v>1638222.8007125233</v>
      </c>
      <c r="N87" s="509">
        <f>IF(J92&lt;D11,0,VLOOKUP(J92,C17:O72,11))-P87</f>
        <v>1638222.8007125233</v>
      </c>
      <c r="O87" s="510">
        <f>+N87-M87</f>
        <v>0</v>
      </c>
      <c r="P87" s="343">
        <f>O5</f>
        <v>15688.800000000001</v>
      </c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IF(J92&lt;D11,0,VLOOKUP(J92,C99:P154,6))-P87</f>
        <v>1515626.2</v>
      </c>
      <c r="N88" s="513">
        <f>IF(J92&lt;D11,0,VLOOKUP(J92,C99:P154,7))-P87</f>
        <v>1515626.2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Cache-Snyder to Altus Jct. 138 kV line (w/2 ring bus stations)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-122596.60071252333</v>
      </c>
      <c r="N89" s="518">
        <f>+N88-N87</f>
        <v>-122596.60071252333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TP2004147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14615636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7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356479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561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2008</v>
      </c>
      <c r="D99" s="474">
        <v>0</v>
      </c>
      <c r="E99" s="481">
        <v>114341</v>
      </c>
      <c r="F99" s="480">
        <v>14429811</v>
      </c>
      <c r="G99" s="538">
        <f t="shared" ref="G99:G130" si="20">+(F99+D99)/2</f>
        <v>7214905.5</v>
      </c>
      <c r="H99" s="539">
        <v>1260396</v>
      </c>
      <c r="I99" s="540">
        <v>1260396</v>
      </c>
      <c r="J99" s="479">
        <f t="shared" ref="J99:J131" si="21">+I99-H99</f>
        <v>0</v>
      </c>
      <c r="K99" s="479"/>
      <c r="L99" s="555">
        <v>1260396</v>
      </c>
      <c r="M99" s="478">
        <f t="shared" ref="M99:M130" si="22">IF(L99&lt;&gt;0,+H99-L99,0)</f>
        <v>0</v>
      </c>
      <c r="N99" s="555">
        <f>+L99</f>
        <v>1260396</v>
      </c>
      <c r="O99" s="478">
        <f t="shared" ref="O99:O130" si="23">IF(N99&lt;&gt;0,+I99-N99,0)</f>
        <v>0</v>
      </c>
      <c r="P99" s="478">
        <f t="shared" ref="P99:P130" si="24">+O99-M99</f>
        <v>0</v>
      </c>
    </row>
    <row r="100" spans="1:16" ht="12.5">
      <c r="B100" s="160" t="str">
        <f>IF(D100=F99,"","IU")</f>
        <v>IU</v>
      </c>
      <c r="C100" s="473">
        <f>IF(D93="","-",+C99+1)</f>
        <v>2009</v>
      </c>
      <c r="D100" s="474">
        <v>14569170</v>
      </c>
      <c r="E100" s="481">
        <v>262206</v>
      </c>
      <c r="F100" s="480">
        <v>14306964</v>
      </c>
      <c r="G100" s="480">
        <v>14438067</v>
      </c>
      <c r="H100" s="481">
        <v>2373171</v>
      </c>
      <c r="I100" s="482">
        <v>2373171</v>
      </c>
      <c r="J100" s="479">
        <f t="shared" si="21"/>
        <v>0</v>
      </c>
      <c r="K100" s="479"/>
      <c r="L100" s="477">
        <f t="shared" ref="L100:L105" si="25">H100</f>
        <v>2373171</v>
      </c>
      <c r="M100" s="479">
        <f t="shared" si="22"/>
        <v>0</v>
      </c>
      <c r="N100" s="477">
        <f t="shared" ref="N100:N105" si="26">I100</f>
        <v>2373171</v>
      </c>
      <c r="O100" s="479">
        <f t="shared" si="23"/>
        <v>0</v>
      </c>
      <c r="P100" s="479">
        <f t="shared" si="24"/>
        <v>0</v>
      </c>
    </row>
    <row r="101" spans="1:16" ht="12.5">
      <c r="B101" s="160" t="str">
        <f t="shared" ref="B101:B154" si="27">IF(D101=F100,"","IU")</f>
        <v>IU</v>
      </c>
      <c r="C101" s="473">
        <f>IF(D93="","-",+C100+1)</f>
        <v>2010</v>
      </c>
      <c r="D101" s="474">
        <v>14239089</v>
      </c>
      <c r="E101" s="481">
        <v>286581</v>
      </c>
      <c r="F101" s="480">
        <v>13952508</v>
      </c>
      <c r="G101" s="480">
        <v>14095798.5</v>
      </c>
      <c r="H101" s="481">
        <v>2553400</v>
      </c>
      <c r="I101" s="482">
        <v>2553400</v>
      </c>
      <c r="J101" s="479">
        <f t="shared" si="21"/>
        <v>0</v>
      </c>
      <c r="K101" s="479"/>
      <c r="L101" s="541">
        <f t="shared" si="25"/>
        <v>2553400</v>
      </c>
      <c r="M101" s="542">
        <f t="shared" si="22"/>
        <v>0</v>
      </c>
      <c r="N101" s="541">
        <f t="shared" si="26"/>
        <v>2553400</v>
      </c>
      <c r="O101" s="479">
        <f t="shared" si="23"/>
        <v>0</v>
      </c>
      <c r="P101" s="479">
        <f t="shared" si="24"/>
        <v>0</v>
      </c>
    </row>
    <row r="102" spans="1:16" ht="12.5">
      <c r="B102" s="160" t="str">
        <f t="shared" si="27"/>
        <v/>
      </c>
      <c r="C102" s="473">
        <f>IF(D93="","-",+C101+1)</f>
        <v>2011</v>
      </c>
      <c r="D102" s="474">
        <v>13952508</v>
      </c>
      <c r="E102" s="481">
        <v>281070</v>
      </c>
      <c r="F102" s="480">
        <v>13671438</v>
      </c>
      <c r="G102" s="480">
        <v>13811973</v>
      </c>
      <c r="H102" s="481">
        <v>2212169</v>
      </c>
      <c r="I102" s="482">
        <v>2212169</v>
      </c>
      <c r="J102" s="479">
        <f t="shared" si="21"/>
        <v>0</v>
      </c>
      <c r="K102" s="479"/>
      <c r="L102" s="541">
        <f t="shared" si="25"/>
        <v>2212169</v>
      </c>
      <c r="M102" s="542">
        <f t="shared" si="22"/>
        <v>0</v>
      </c>
      <c r="N102" s="541">
        <f t="shared" si="26"/>
        <v>2212169</v>
      </c>
      <c r="O102" s="479">
        <f t="shared" si="23"/>
        <v>0</v>
      </c>
      <c r="P102" s="479">
        <f t="shared" si="24"/>
        <v>0</v>
      </c>
    </row>
    <row r="103" spans="1:16" ht="12.5">
      <c r="B103" s="160" t="str">
        <f t="shared" si="27"/>
        <v/>
      </c>
      <c r="C103" s="473">
        <f>IF(D93="","-",+C102+1)</f>
        <v>2012</v>
      </c>
      <c r="D103" s="474">
        <v>13671438</v>
      </c>
      <c r="E103" s="481">
        <v>281070</v>
      </c>
      <c r="F103" s="480">
        <v>13390368</v>
      </c>
      <c r="G103" s="480">
        <v>13530903</v>
      </c>
      <c r="H103" s="481">
        <v>2227565</v>
      </c>
      <c r="I103" s="482">
        <v>2227565</v>
      </c>
      <c r="J103" s="479">
        <v>0</v>
      </c>
      <c r="K103" s="479"/>
      <c r="L103" s="541">
        <f t="shared" si="25"/>
        <v>2227565</v>
      </c>
      <c r="M103" s="542">
        <f t="shared" ref="M103:M108" si="28">IF(L103&lt;&gt;0,+H103-L103,0)</f>
        <v>0</v>
      </c>
      <c r="N103" s="541">
        <f t="shared" si="26"/>
        <v>2227565</v>
      </c>
      <c r="O103" s="479">
        <f t="shared" ref="O103:O108" si="29">IF(N103&lt;&gt;0,+I103-N103,0)</f>
        <v>0</v>
      </c>
      <c r="P103" s="479">
        <f t="shared" ref="P103:P108" si="30">+O103-M103</f>
        <v>0</v>
      </c>
    </row>
    <row r="104" spans="1:16" ht="12.5">
      <c r="B104" s="160" t="str">
        <f t="shared" si="27"/>
        <v/>
      </c>
      <c r="C104" s="473">
        <f>IF(D93="","-",+C103+1)</f>
        <v>2013</v>
      </c>
      <c r="D104" s="474">
        <v>13390368</v>
      </c>
      <c r="E104" s="481">
        <v>281070</v>
      </c>
      <c r="F104" s="480">
        <v>13109298</v>
      </c>
      <c r="G104" s="480">
        <v>13249833</v>
      </c>
      <c r="H104" s="481">
        <v>2188246</v>
      </c>
      <c r="I104" s="482">
        <v>2188246</v>
      </c>
      <c r="J104" s="479">
        <v>0</v>
      </c>
      <c r="K104" s="479"/>
      <c r="L104" s="541">
        <f t="shared" si="25"/>
        <v>2188246</v>
      </c>
      <c r="M104" s="542">
        <f t="shared" si="28"/>
        <v>0</v>
      </c>
      <c r="N104" s="541">
        <f t="shared" si="26"/>
        <v>2188246</v>
      </c>
      <c r="O104" s="479">
        <f t="shared" si="29"/>
        <v>0</v>
      </c>
      <c r="P104" s="479">
        <f t="shared" si="30"/>
        <v>0</v>
      </c>
    </row>
    <row r="105" spans="1:16" ht="12.5">
      <c r="B105" s="160" t="str">
        <f t="shared" si="27"/>
        <v/>
      </c>
      <c r="C105" s="473">
        <f>IF(D93="","-",+C104+1)</f>
        <v>2014</v>
      </c>
      <c r="D105" s="474">
        <v>13109298</v>
      </c>
      <c r="E105" s="481">
        <v>281070</v>
      </c>
      <c r="F105" s="480">
        <v>12828228</v>
      </c>
      <c r="G105" s="480">
        <v>12968763</v>
      </c>
      <c r="H105" s="481">
        <v>2104425</v>
      </c>
      <c r="I105" s="482">
        <v>2104425</v>
      </c>
      <c r="J105" s="479">
        <v>0</v>
      </c>
      <c r="K105" s="479"/>
      <c r="L105" s="541">
        <f t="shared" si="25"/>
        <v>2104425</v>
      </c>
      <c r="M105" s="542">
        <f t="shared" si="28"/>
        <v>0</v>
      </c>
      <c r="N105" s="541">
        <f t="shared" si="26"/>
        <v>2104425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7"/>
        <v/>
      </c>
      <c r="C106" s="473">
        <f>IF(D93="","-",+C105+1)</f>
        <v>2015</v>
      </c>
      <c r="D106" s="474">
        <v>12828228</v>
      </c>
      <c r="E106" s="481">
        <v>281070</v>
      </c>
      <c r="F106" s="480">
        <v>12547158</v>
      </c>
      <c r="G106" s="480">
        <v>12687693</v>
      </c>
      <c r="H106" s="481">
        <v>2012204</v>
      </c>
      <c r="I106" s="482">
        <v>2012204</v>
      </c>
      <c r="J106" s="479">
        <f t="shared" si="21"/>
        <v>0</v>
      </c>
      <c r="K106" s="479"/>
      <c r="L106" s="541">
        <f>H106</f>
        <v>2012204</v>
      </c>
      <c r="M106" s="542">
        <f t="shared" si="28"/>
        <v>0</v>
      </c>
      <c r="N106" s="541">
        <f>I106</f>
        <v>2012204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7"/>
        <v/>
      </c>
      <c r="C107" s="473">
        <f>IF(D93="","-",+C106+1)</f>
        <v>2016</v>
      </c>
      <c r="D107" s="474">
        <v>12547158</v>
      </c>
      <c r="E107" s="481">
        <v>317731</v>
      </c>
      <c r="F107" s="480">
        <v>12229427</v>
      </c>
      <c r="G107" s="480">
        <v>12388292.5</v>
      </c>
      <c r="H107" s="481">
        <v>1914777</v>
      </c>
      <c r="I107" s="482">
        <v>1914777</v>
      </c>
      <c r="J107" s="479">
        <f t="shared" si="21"/>
        <v>0</v>
      </c>
      <c r="K107" s="479"/>
      <c r="L107" s="541">
        <f>H107</f>
        <v>1914777</v>
      </c>
      <c r="M107" s="542">
        <f t="shared" si="28"/>
        <v>0</v>
      </c>
      <c r="N107" s="541">
        <f>I107</f>
        <v>1914777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7"/>
        <v/>
      </c>
      <c r="C108" s="473">
        <f>IF(D93="","-",+C107+1)</f>
        <v>2017</v>
      </c>
      <c r="D108" s="474">
        <v>12229427</v>
      </c>
      <c r="E108" s="481">
        <v>317731</v>
      </c>
      <c r="F108" s="480">
        <v>11911696</v>
      </c>
      <c r="G108" s="480">
        <v>12070561.5</v>
      </c>
      <c r="H108" s="481">
        <v>1848912</v>
      </c>
      <c r="I108" s="482">
        <v>1848912</v>
      </c>
      <c r="J108" s="479">
        <f t="shared" si="21"/>
        <v>0</v>
      </c>
      <c r="K108" s="479"/>
      <c r="L108" s="541">
        <f>H108</f>
        <v>1848912</v>
      </c>
      <c r="M108" s="542">
        <f t="shared" si="28"/>
        <v>0</v>
      </c>
      <c r="N108" s="541">
        <f>I108</f>
        <v>1848912</v>
      </c>
      <c r="O108" s="479">
        <f t="shared" si="29"/>
        <v>0</v>
      </c>
      <c r="P108" s="479">
        <f t="shared" si="30"/>
        <v>0</v>
      </c>
    </row>
    <row r="109" spans="1:16" ht="12.5">
      <c r="B109" s="160" t="str">
        <f t="shared" si="27"/>
        <v/>
      </c>
      <c r="C109" s="473">
        <f>IF(D93="","-",+C108+1)</f>
        <v>2018</v>
      </c>
      <c r="D109" s="474">
        <v>11911696</v>
      </c>
      <c r="E109" s="481">
        <v>339899</v>
      </c>
      <c r="F109" s="480">
        <v>11571797</v>
      </c>
      <c r="G109" s="480">
        <v>11741746.5</v>
      </c>
      <c r="H109" s="481">
        <v>1546194</v>
      </c>
      <c r="I109" s="482">
        <v>1546194</v>
      </c>
      <c r="J109" s="479">
        <f t="shared" si="21"/>
        <v>0</v>
      </c>
      <c r="K109" s="479"/>
      <c r="L109" s="541">
        <f>H109</f>
        <v>1546194</v>
      </c>
      <c r="M109" s="542">
        <f t="shared" ref="M109" si="31">IF(L109&lt;&gt;0,+H109-L109,0)</f>
        <v>0</v>
      </c>
      <c r="N109" s="541">
        <f>I109</f>
        <v>1546194</v>
      </c>
      <c r="O109" s="479">
        <f t="shared" ref="O109" si="32">IF(N109&lt;&gt;0,+I109-N109,0)</f>
        <v>0</v>
      </c>
      <c r="P109" s="479">
        <f t="shared" ref="P109" si="33">+O109-M109</f>
        <v>0</v>
      </c>
    </row>
    <row r="110" spans="1:16" ht="12.5">
      <c r="B110" s="160" t="str">
        <f t="shared" si="27"/>
        <v/>
      </c>
      <c r="C110" s="473">
        <f>IF(D93="","-",+C109+1)</f>
        <v>2019</v>
      </c>
      <c r="D110" s="347">
        <f>IF(F109+SUM(E$99:E109)=D$92,F109,D$92-SUM(E$99:E109))</f>
        <v>11571797</v>
      </c>
      <c r="E110" s="487">
        <f>IF(+J96&lt;F109,J96,D110)</f>
        <v>356479</v>
      </c>
      <c r="F110" s="486">
        <f t="shared" ref="F110:F130" si="34">+D110-E110</f>
        <v>11215318</v>
      </c>
      <c r="G110" s="486">
        <f t="shared" si="20"/>
        <v>11393557.5</v>
      </c>
      <c r="H110" s="489">
        <f t="shared" ref="H110:H154" si="35">ROUND(J$94*G110,0)+E110</f>
        <v>1531315</v>
      </c>
      <c r="I110" s="543">
        <f t="shared" ref="I110:I154" si="36">ROUND(J$95*G110,0)+E110</f>
        <v>1531315</v>
      </c>
      <c r="J110" s="479">
        <f t="shared" si="21"/>
        <v>0</v>
      </c>
      <c r="K110" s="479"/>
      <c r="L110" s="488"/>
      <c r="M110" s="479">
        <f t="shared" si="22"/>
        <v>0</v>
      </c>
      <c r="N110" s="488"/>
      <c r="O110" s="479">
        <f t="shared" si="23"/>
        <v>0</v>
      </c>
      <c r="P110" s="479">
        <f t="shared" si="24"/>
        <v>0</v>
      </c>
    </row>
    <row r="111" spans="1:16" ht="12.5">
      <c r="B111" s="160" t="str">
        <f t="shared" si="27"/>
        <v/>
      </c>
      <c r="C111" s="473">
        <f>IF(D93="","-",+C110+1)</f>
        <v>2020</v>
      </c>
      <c r="D111" s="347">
        <f>IF(F110+SUM(E$99:E110)=D$92,F110,D$92-SUM(E$99:E110))</f>
        <v>11215318</v>
      </c>
      <c r="E111" s="487">
        <f>IF(+J96&lt;F110,J96,D111)</f>
        <v>356479</v>
      </c>
      <c r="F111" s="486">
        <f t="shared" si="34"/>
        <v>10858839</v>
      </c>
      <c r="G111" s="486">
        <f t="shared" si="20"/>
        <v>11037078.5</v>
      </c>
      <c r="H111" s="489">
        <f t="shared" si="35"/>
        <v>1494557</v>
      </c>
      <c r="I111" s="543">
        <f t="shared" si="36"/>
        <v>1494557</v>
      </c>
      <c r="J111" s="479">
        <f t="shared" si="21"/>
        <v>0</v>
      </c>
      <c r="K111" s="479"/>
      <c r="L111" s="488"/>
      <c r="M111" s="479">
        <f t="shared" si="22"/>
        <v>0</v>
      </c>
      <c r="N111" s="488"/>
      <c r="O111" s="479">
        <f t="shared" si="23"/>
        <v>0</v>
      </c>
      <c r="P111" s="479">
        <f t="shared" si="24"/>
        <v>0</v>
      </c>
    </row>
    <row r="112" spans="1:16" ht="12.5">
      <c r="B112" s="160" t="str">
        <f t="shared" si="27"/>
        <v/>
      </c>
      <c r="C112" s="473">
        <f>IF(D93="","-",+C111+1)</f>
        <v>2021</v>
      </c>
      <c r="D112" s="347">
        <f>IF(F111+SUM(E$99:E111)=D$92,F111,D$92-SUM(E$99:E111))</f>
        <v>10858839</v>
      </c>
      <c r="E112" s="487">
        <f>IF(+J96&lt;F111,J96,D112)</f>
        <v>356479</v>
      </c>
      <c r="F112" s="486">
        <f t="shared" si="34"/>
        <v>10502360</v>
      </c>
      <c r="G112" s="486">
        <f t="shared" si="20"/>
        <v>10680599.5</v>
      </c>
      <c r="H112" s="489">
        <f t="shared" si="35"/>
        <v>1457799</v>
      </c>
      <c r="I112" s="543">
        <f t="shared" si="36"/>
        <v>1457799</v>
      </c>
      <c r="J112" s="479">
        <f t="shared" si="21"/>
        <v>0</v>
      </c>
      <c r="K112" s="479"/>
      <c r="L112" s="488"/>
      <c r="M112" s="479">
        <f t="shared" si="22"/>
        <v>0</v>
      </c>
      <c r="N112" s="488"/>
      <c r="O112" s="479">
        <f t="shared" si="23"/>
        <v>0</v>
      </c>
      <c r="P112" s="479">
        <f t="shared" si="24"/>
        <v>0</v>
      </c>
    </row>
    <row r="113" spans="2:16" ht="12.5">
      <c r="B113" s="160" t="str">
        <f t="shared" si="27"/>
        <v/>
      </c>
      <c r="C113" s="473">
        <f>IF(D93="","-",+C112+1)</f>
        <v>2022</v>
      </c>
      <c r="D113" s="347">
        <f>IF(F112+SUM(E$99:E112)=D$92,F112,D$92-SUM(E$99:E112))</f>
        <v>10502360</v>
      </c>
      <c r="E113" s="487">
        <f>IF(+J96&lt;F112,J96,D113)</f>
        <v>356479</v>
      </c>
      <c r="F113" s="486">
        <f t="shared" si="34"/>
        <v>10145881</v>
      </c>
      <c r="G113" s="486">
        <f t="shared" si="20"/>
        <v>10324120.5</v>
      </c>
      <c r="H113" s="489">
        <f t="shared" si="35"/>
        <v>1421041</v>
      </c>
      <c r="I113" s="543">
        <f t="shared" si="36"/>
        <v>1421041</v>
      </c>
      <c r="J113" s="479">
        <f t="shared" si="21"/>
        <v>0</v>
      </c>
      <c r="K113" s="479"/>
      <c r="L113" s="488"/>
      <c r="M113" s="479">
        <f t="shared" si="22"/>
        <v>0</v>
      </c>
      <c r="N113" s="488"/>
      <c r="O113" s="479">
        <f t="shared" si="23"/>
        <v>0</v>
      </c>
      <c r="P113" s="479">
        <f t="shared" si="24"/>
        <v>0</v>
      </c>
    </row>
    <row r="114" spans="2:16" ht="12.5">
      <c r="B114" s="160" t="str">
        <f t="shared" si="27"/>
        <v/>
      </c>
      <c r="C114" s="473">
        <f>IF(D93="","-",+C113+1)</f>
        <v>2023</v>
      </c>
      <c r="D114" s="347">
        <f>IF(F113+SUM(E$99:E113)=D$92,F113,D$92-SUM(E$99:E113))</f>
        <v>10145881</v>
      </c>
      <c r="E114" s="487">
        <f>IF(+J96&lt;F113,J96,D114)</f>
        <v>356479</v>
      </c>
      <c r="F114" s="486">
        <f t="shared" si="34"/>
        <v>9789402</v>
      </c>
      <c r="G114" s="486">
        <f t="shared" si="20"/>
        <v>9967641.5</v>
      </c>
      <c r="H114" s="489">
        <f t="shared" si="35"/>
        <v>1384283</v>
      </c>
      <c r="I114" s="543">
        <f t="shared" si="36"/>
        <v>1384283</v>
      </c>
      <c r="J114" s="479">
        <f t="shared" si="21"/>
        <v>0</v>
      </c>
      <c r="K114" s="479"/>
      <c r="L114" s="488"/>
      <c r="M114" s="479">
        <f t="shared" si="22"/>
        <v>0</v>
      </c>
      <c r="N114" s="488"/>
      <c r="O114" s="479">
        <f t="shared" si="23"/>
        <v>0</v>
      </c>
      <c r="P114" s="479">
        <f t="shared" si="24"/>
        <v>0</v>
      </c>
    </row>
    <row r="115" spans="2:16" ht="12.5">
      <c r="B115" s="160" t="str">
        <f t="shared" si="27"/>
        <v/>
      </c>
      <c r="C115" s="473">
        <f>IF(D93="","-",+C114+1)</f>
        <v>2024</v>
      </c>
      <c r="D115" s="347">
        <f>IF(F114+SUM(E$99:E114)=D$92,F114,D$92-SUM(E$99:E114))</f>
        <v>9789402</v>
      </c>
      <c r="E115" s="487">
        <f>IF(+J96&lt;F114,J96,D115)</f>
        <v>356479</v>
      </c>
      <c r="F115" s="486">
        <f t="shared" si="34"/>
        <v>9432923</v>
      </c>
      <c r="G115" s="486">
        <f t="shared" si="20"/>
        <v>9611162.5</v>
      </c>
      <c r="H115" s="489">
        <f t="shared" si="35"/>
        <v>1347525</v>
      </c>
      <c r="I115" s="543">
        <f t="shared" si="36"/>
        <v>1347525</v>
      </c>
      <c r="J115" s="479">
        <f t="shared" si="21"/>
        <v>0</v>
      </c>
      <c r="K115" s="479"/>
      <c r="L115" s="488"/>
      <c r="M115" s="479">
        <f t="shared" si="22"/>
        <v>0</v>
      </c>
      <c r="N115" s="488"/>
      <c r="O115" s="479">
        <f t="shared" si="23"/>
        <v>0</v>
      </c>
      <c r="P115" s="479">
        <f t="shared" si="24"/>
        <v>0</v>
      </c>
    </row>
    <row r="116" spans="2:16" ht="12.5">
      <c r="B116" s="160" t="str">
        <f t="shared" si="27"/>
        <v/>
      </c>
      <c r="C116" s="473">
        <f>IF(D93="","-",+C115+1)</f>
        <v>2025</v>
      </c>
      <c r="D116" s="347">
        <f>IF(F115+SUM(E$99:E115)=D$92,F115,D$92-SUM(E$99:E115))</f>
        <v>9432923</v>
      </c>
      <c r="E116" s="487">
        <f>IF(+J96&lt;F115,J96,D116)</f>
        <v>356479</v>
      </c>
      <c r="F116" s="486">
        <f t="shared" si="34"/>
        <v>9076444</v>
      </c>
      <c r="G116" s="486">
        <f t="shared" si="20"/>
        <v>9254683.5</v>
      </c>
      <c r="H116" s="489">
        <f t="shared" si="35"/>
        <v>1310767</v>
      </c>
      <c r="I116" s="543">
        <f t="shared" si="36"/>
        <v>1310767</v>
      </c>
      <c r="J116" s="479">
        <f t="shared" si="21"/>
        <v>0</v>
      </c>
      <c r="K116" s="479"/>
      <c r="L116" s="488"/>
      <c r="M116" s="479">
        <f t="shared" si="22"/>
        <v>0</v>
      </c>
      <c r="N116" s="488"/>
      <c r="O116" s="479">
        <f t="shared" si="23"/>
        <v>0</v>
      </c>
      <c r="P116" s="479">
        <f t="shared" si="24"/>
        <v>0</v>
      </c>
    </row>
    <row r="117" spans="2:16" ht="12.5">
      <c r="B117" s="160" t="str">
        <f t="shared" si="27"/>
        <v/>
      </c>
      <c r="C117" s="473">
        <f>IF(D93="","-",+C116+1)</f>
        <v>2026</v>
      </c>
      <c r="D117" s="347">
        <f>IF(F116+SUM(E$99:E116)=D$92,F116,D$92-SUM(E$99:E116))</f>
        <v>9076444</v>
      </c>
      <c r="E117" s="487">
        <f>IF(+J96&lt;F116,J96,D117)</f>
        <v>356479</v>
      </c>
      <c r="F117" s="486">
        <f t="shared" si="34"/>
        <v>8719965</v>
      </c>
      <c r="G117" s="486">
        <f t="shared" si="20"/>
        <v>8898204.5</v>
      </c>
      <c r="H117" s="489">
        <f t="shared" si="35"/>
        <v>1274009</v>
      </c>
      <c r="I117" s="543">
        <f t="shared" si="36"/>
        <v>1274009</v>
      </c>
      <c r="J117" s="479">
        <f t="shared" si="21"/>
        <v>0</v>
      </c>
      <c r="K117" s="479"/>
      <c r="L117" s="488"/>
      <c r="M117" s="479">
        <f t="shared" si="22"/>
        <v>0</v>
      </c>
      <c r="N117" s="488"/>
      <c r="O117" s="479">
        <f t="shared" si="23"/>
        <v>0</v>
      </c>
      <c r="P117" s="479">
        <f t="shared" si="24"/>
        <v>0</v>
      </c>
    </row>
    <row r="118" spans="2:16" ht="12.5">
      <c r="B118" s="160" t="str">
        <f t="shared" si="27"/>
        <v/>
      </c>
      <c r="C118" s="473">
        <f>IF(D93="","-",+C117+1)</f>
        <v>2027</v>
      </c>
      <c r="D118" s="347">
        <f>IF(F117+SUM(E$99:E117)=D$92,F117,D$92-SUM(E$99:E117))</f>
        <v>8719965</v>
      </c>
      <c r="E118" s="487">
        <f>IF(+J96&lt;F117,J96,D118)</f>
        <v>356479</v>
      </c>
      <c r="F118" s="486">
        <f t="shared" si="34"/>
        <v>8363486</v>
      </c>
      <c r="G118" s="486">
        <f t="shared" si="20"/>
        <v>8541725.5</v>
      </c>
      <c r="H118" s="489">
        <f t="shared" si="35"/>
        <v>1237251</v>
      </c>
      <c r="I118" s="543">
        <f t="shared" si="36"/>
        <v>1237251</v>
      </c>
      <c r="J118" s="479">
        <f t="shared" si="21"/>
        <v>0</v>
      </c>
      <c r="K118" s="479"/>
      <c r="L118" s="488"/>
      <c r="M118" s="479">
        <f t="shared" si="22"/>
        <v>0</v>
      </c>
      <c r="N118" s="488"/>
      <c r="O118" s="479">
        <f t="shared" si="23"/>
        <v>0</v>
      </c>
      <c r="P118" s="479">
        <f t="shared" si="24"/>
        <v>0</v>
      </c>
    </row>
    <row r="119" spans="2:16" ht="12.5">
      <c r="B119" s="160" t="str">
        <f t="shared" si="27"/>
        <v/>
      </c>
      <c r="C119" s="473">
        <f>IF(D93="","-",+C118+1)</f>
        <v>2028</v>
      </c>
      <c r="D119" s="347">
        <f>IF(F118+SUM(E$99:E118)=D$92,F118,D$92-SUM(E$99:E118))</f>
        <v>8363486</v>
      </c>
      <c r="E119" s="487">
        <f>IF(+J96&lt;F118,J96,D119)</f>
        <v>356479</v>
      </c>
      <c r="F119" s="486">
        <f t="shared" si="34"/>
        <v>8007007</v>
      </c>
      <c r="G119" s="486">
        <f t="shared" si="20"/>
        <v>8185246.5</v>
      </c>
      <c r="H119" s="489">
        <f t="shared" si="35"/>
        <v>1200493</v>
      </c>
      <c r="I119" s="543">
        <f t="shared" si="36"/>
        <v>1200493</v>
      </c>
      <c r="J119" s="479">
        <f t="shared" si="21"/>
        <v>0</v>
      </c>
      <c r="K119" s="479"/>
      <c r="L119" s="488"/>
      <c r="M119" s="479">
        <f t="shared" si="22"/>
        <v>0</v>
      </c>
      <c r="N119" s="488"/>
      <c r="O119" s="479">
        <f t="shared" si="23"/>
        <v>0</v>
      </c>
      <c r="P119" s="479">
        <f t="shared" si="24"/>
        <v>0</v>
      </c>
    </row>
    <row r="120" spans="2:16" ht="12.5">
      <c r="B120" s="160" t="str">
        <f t="shared" si="27"/>
        <v/>
      </c>
      <c r="C120" s="473">
        <f>IF(D93="","-",+C119+1)</f>
        <v>2029</v>
      </c>
      <c r="D120" s="347">
        <f>IF(F119+SUM(E$99:E119)=D$92,F119,D$92-SUM(E$99:E119))</f>
        <v>8007007</v>
      </c>
      <c r="E120" s="487">
        <f>IF(+J96&lt;F119,J96,D120)</f>
        <v>356479</v>
      </c>
      <c r="F120" s="486">
        <f t="shared" si="34"/>
        <v>7650528</v>
      </c>
      <c r="G120" s="486">
        <f t="shared" si="20"/>
        <v>7828767.5</v>
      </c>
      <c r="H120" s="489">
        <f t="shared" si="35"/>
        <v>1163735</v>
      </c>
      <c r="I120" s="543">
        <f t="shared" si="36"/>
        <v>1163735</v>
      </c>
      <c r="J120" s="479">
        <f t="shared" si="21"/>
        <v>0</v>
      </c>
      <c r="K120" s="479"/>
      <c r="L120" s="488"/>
      <c r="M120" s="479">
        <f t="shared" si="22"/>
        <v>0</v>
      </c>
      <c r="N120" s="488"/>
      <c r="O120" s="479">
        <f t="shared" si="23"/>
        <v>0</v>
      </c>
      <c r="P120" s="479">
        <f t="shared" si="24"/>
        <v>0</v>
      </c>
    </row>
    <row r="121" spans="2:16" ht="12.5">
      <c r="B121" s="160" t="str">
        <f t="shared" si="27"/>
        <v/>
      </c>
      <c r="C121" s="473">
        <f>IF(D93="","-",+C120+1)</f>
        <v>2030</v>
      </c>
      <c r="D121" s="347">
        <f>IF(F120+SUM(E$99:E120)=D$92,F120,D$92-SUM(E$99:E120))</f>
        <v>7650528</v>
      </c>
      <c r="E121" s="487">
        <f>IF(+J96&lt;F120,J96,D121)</f>
        <v>356479</v>
      </c>
      <c r="F121" s="486">
        <f t="shared" si="34"/>
        <v>7294049</v>
      </c>
      <c r="G121" s="486">
        <f t="shared" si="20"/>
        <v>7472288.5</v>
      </c>
      <c r="H121" s="489">
        <f t="shared" si="35"/>
        <v>1126977</v>
      </c>
      <c r="I121" s="543">
        <f t="shared" si="36"/>
        <v>1126977</v>
      </c>
      <c r="J121" s="479">
        <f t="shared" si="21"/>
        <v>0</v>
      </c>
      <c r="K121" s="479"/>
      <c r="L121" s="488"/>
      <c r="M121" s="479">
        <f t="shared" si="22"/>
        <v>0</v>
      </c>
      <c r="N121" s="488"/>
      <c r="O121" s="479">
        <f t="shared" si="23"/>
        <v>0</v>
      </c>
      <c r="P121" s="479">
        <f t="shared" si="24"/>
        <v>0</v>
      </c>
    </row>
    <row r="122" spans="2:16" ht="12.5">
      <c r="B122" s="160" t="str">
        <f t="shared" si="27"/>
        <v/>
      </c>
      <c r="C122" s="473">
        <f>IF(D93="","-",+C121+1)</f>
        <v>2031</v>
      </c>
      <c r="D122" s="347">
        <f>IF(F121+SUM(E$99:E121)=D$92,F121,D$92-SUM(E$99:E121))</f>
        <v>7294049</v>
      </c>
      <c r="E122" s="487">
        <f>IF(+J96&lt;F121,J96,D122)</f>
        <v>356479</v>
      </c>
      <c r="F122" s="486">
        <f t="shared" si="34"/>
        <v>6937570</v>
      </c>
      <c r="G122" s="486">
        <f t="shared" si="20"/>
        <v>7115809.5</v>
      </c>
      <c r="H122" s="489">
        <f t="shared" si="35"/>
        <v>1090219</v>
      </c>
      <c r="I122" s="543">
        <f t="shared" si="36"/>
        <v>1090219</v>
      </c>
      <c r="J122" s="479">
        <f t="shared" si="21"/>
        <v>0</v>
      </c>
      <c r="K122" s="479"/>
      <c r="L122" s="488"/>
      <c r="M122" s="479">
        <f t="shared" si="22"/>
        <v>0</v>
      </c>
      <c r="N122" s="488"/>
      <c r="O122" s="479">
        <f t="shared" si="23"/>
        <v>0</v>
      </c>
      <c r="P122" s="479">
        <f t="shared" si="24"/>
        <v>0</v>
      </c>
    </row>
    <row r="123" spans="2:16" ht="12.5">
      <c r="B123" s="160" t="str">
        <f t="shared" si="27"/>
        <v/>
      </c>
      <c r="C123" s="473">
        <f>IF(D93="","-",+C122+1)</f>
        <v>2032</v>
      </c>
      <c r="D123" s="347">
        <f>IF(F122+SUM(E$99:E122)=D$92,F122,D$92-SUM(E$99:E122))</f>
        <v>6937570</v>
      </c>
      <c r="E123" s="487">
        <f>IF(+J96&lt;F122,J96,D123)</f>
        <v>356479</v>
      </c>
      <c r="F123" s="486">
        <f t="shared" si="34"/>
        <v>6581091</v>
      </c>
      <c r="G123" s="486">
        <f t="shared" si="20"/>
        <v>6759330.5</v>
      </c>
      <c r="H123" s="489">
        <f t="shared" si="35"/>
        <v>1053461</v>
      </c>
      <c r="I123" s="543">
        <f t="shared" si="36"/>
        <v>1053461</v>
      </c>
      <c r="J123" s="479">
        <f t="shared" si="21"/>
        <v>0</v>
      </c>
      <c r="K123" s="479"/>
      <c r="L123" s="488"/>
      <c r="M123" s="479">
        <f t="shared" si="22"/>
        <v>0</v>
      </c>
      <c r="N123" s="488"/>
      <c r="O123" s="479">
        <f t="shared" si="23"/>
        <v>0</v>
      </c>
      <c r="P123" s="479">
        <f t="shared" si="24"/>
        <v>0</v>
      </c>
    </row>
    <row r="124" spans="2:16" ht="12.5">
      <c r="B124" s="160" t="str">
        <f t="shared" si="27"/>
        <v/>
      </c>
      <c r="C124" s="473">
        <f>IF(D93="","-",+C123+1)</f>
        <v>2033</v>
      </c>
      <c r="D124" s="347">
        <f>IF(F123+SUM(E$99:E123)=D$92,F123,D$92-SUM(E$99:E123))</f>
        <v>6581091</v>
      </c>
      <c r="E124" s="487">
        <f>IF(+J96&lt;F123,J96,D124)</f>
        <v>356479</v>
      </c>
      <c r="F124" s="486">
        <f t="shared" si="34"/>
        <v>6224612</v>
      </c>
      <c r="G124" s="486">
        <f t="shared" si="20"/>
        <v>6402851.5</v>
      </c>
      <c r="H124" s="489">
        <f t="shared" si="35"/>
        <v>1016703</v>
      </c>
      <c r="I124" s="543">
        <f t="shared" si="36"/>
        <v>1016703</v>
      </c>
      <c r="J124" s="479">
        <f t="shared" si="21"/>
        <v>0</v>
      </c>
      <c r="K124" s="479"/>
      <c r="L124" s="488"/>
      <c r="M124" s="479">
        <f t="shared" si="22"/>
        <v>0</v>
      </c>
      <c r="N124" s="488"/>
      <c r="O124" s="479">
        <f t="shared" si="23"/>
        <v>0</v>
      </c>
      <c r="P124" s="479">
        <f t="shared" si="24"/>
        <v>0</v>
      </c>
    </row>
    <row r="125" spans="2:16" ht="12.5">
      <c r="B125" s="160" t="str">
        <f t="shared" si="27"/>
        <v/>
      </c>
      <c r="C125" s="473">
        <f>IF(D93="","-",+C124+1)</f>
        <v>2034</v>
      </c>
      <c r="D125" s="347">
        <f>IF(F124+SUM(E$99:E124)=D$92,F124,D$92-SUM(E$99:E124))</f>
        <v>6224612</v>
      </c>
      <c r="E125" s="487">
        <f>IF(+J96&lt;F124,J96,D125)</f>
        <v>356479</v>
      </c>
      <c r="F125" s="486">
        <f t="shared" si="34"/>
        <v>5868133</v>
      </c>
      <c r="G125" s="486">
        <f t="shared" si="20"/>
        <v>6046372.5</v>
      </c>
      <c r="H125" s="489">
        <f t="shared" si="35"/>
        <v>979945</v>
      </c>
      <c r="I125" s="543">
        <f t="shared" si="36"/>
        <v>979945</v>
      </c>
      <c r="J125" s="479">
        <f t="shared" si="21"/>
        <v>0</v>
      </c>
      <c r="K125" s="479"/>
      <c r="L125" s="488"/>
      <c r="M125" s="479">
        <f t="shared" si="22"/>
        <v>0</v>
      </c>
      <c r="N125" s="488"/>
      <c r="O125" s="479">
        <f t="shared" si="23"/>
        <v>0</v>
      </c>
      <c r="P125" s="479">
        <f t="shared" si="24"/>
        <v>0</v>
      </c>
    </row>
    <row r="126" spans="2:16" ht="12.5">
      <c r="B126" s="160" t="str">
        <f t="shared" si="27"/>
        <v/>
      </c>
      <c r="C126" s="473">
        <f>IF(D93="","-",+C125+1)</f>
        <v>2035</v>
      </c>
      <c r="D126" s="347">
        <f>IF(F125+SUM(E$99:E125)=D$92,F125,D$92-SUM(E$99:E125))</f>
        <v>5868133</v>
      </c>
      <c r="E126" s="487">
        <f>IF(+J96&lt;F125,J96,D126)</f>
        <v>356479</v>
      </c>
      <c r="F126" s="486">
        <f t="shared" si="34"/>
        <v>5511654</v>
      </c>
      <c r="G126" s="486">
        <f t="shared" si="20"/>
        <v>5689893.5</v>
      </c>
      <c r="H126" s="489">
        <f t="shared" si="35"/>
        <v>943187</v>
      </c>
      <c r="I126" s="543">
        <f t="shared" si="36"/>
        <v>943187</v>
      </c>
      <c r="J126" s="479">
        <f t="shared" si="21"/>
        <v>0</v>
      </c>
      <c r="K126" s="479"/>
      <c r="L126" s="488"/>
      <c r="M126" s="479">
        <f t="shared" si="22"/>
        <v>0</v>
      </c>
      <c r="N126" s="488"/>
      <c r="O126" s="479">
        <f t="shared" si="23"/>
        <v>0</v>
      </c>
      <c r="P126" s="479">
        <f t="shared" si="24"/>
        <v>0</v>
      </c>
    </row>
    <row r="127" spans="2:16" ht="12.5">
      <c r="B127" s="160" t="str">
        <f t="shared" si="27"/>
        <v/>
      </c>
      <c r="C127" s="473">
        <f>IF(D93="","-",+C126+1)</f>
        <v>2036</v>
      </c>
      <c r="D127" s="347">
        <f>IF(F126+SUM(E$99:E126)=D$92,F126,D$92-SUM(E$99:E126))</f>
        <v>5511654</v>
      </c>
      <c r="E127" s="487">
        <f>IF(+J96&lt;F126,J96,D127)</f>
        <v>356479</v>
      </c>
      <c r="F127" s="486">
        <f t="shared" si="34"/>
        <v>5155175</v>
      </c>
      <c r="G127" s="486">
        <f t="shared" si="20"/>
        <v>5333414.5</v>
      </c>
      <c r="H127" s="489">
        <f t="shared" si="35"/>
        <v>906429</v>
      </c>
      <c r="I127" s="543">
        <f t="shared" si="36"/>
        <v>906429</v>
      </c>
      <c r="J127" s="479">
        <f t="shared" si="21"/>
        <v>0</v>
      </c>
      <c r="K127" s="479"/>
      <c r="L127" s="488"/>
      <c r="M127" s="479">
        <f t="shared" si="22"/>
        <v>0</v>
      </c>
      <c r="N127" s="488"/>
      <c r="O127" s="479">
        <f t="shared" si="23"/>
        <v>0</v>
      </c>
      <c r="P127" s="479">
        <f t="shared" si="24"/>
        <v>0</v>
      </c>
    </row>
    <row r="128" spans="2:16" ht="12.5">
      <c r="B128" s="160" t="str">
        <f t="shared" si="27"/>
        <v/>
      </c>
      <c r="C128" s="473">
        <f>IF(D93="","-",+C127+1)</f>
        <v>2037</v>
      </c>
      <c r="D128" s="347">
        <f>IF(F127+SUM(E$99:E127)=D$92,F127,D$92-SUM(E$99:E127))</f>
        <v>5155175</v>
      </c>
      <c r="E128" s="487">
        <f>IF(+J96&lt;F127,J96,D128)</f>
        <v>356479</v>
      </c>
      <c r="F128" s="486">
        <f t="shared" si="34"/>
        <v>4798696</v>
      </c>
      <c r="G128" s="486">
        <f t="shared" si="20"/>
        <v>4976935.5</v>
      </c>
      <c r="H128" s="489">
        <f t="shared" si="35"/>
        <v>869671</v>
      </c>
      <c r="I128" s="543">
        <f t="shared" si="36"/>
        <v>869671</v>
      </c>
      <c r="J128" s="479">
        <f t="shared" si="21"/>
        <v>0</v>
      </c>
      <c r="K128" s="479"/>
      <c r="L128" s="488"/>
      <c r="M128" s="479">
        <f t="shared" si="22"/>
        <v>0</v>
      </c>
      <c r="N128" s="488"/>
      <c r="O128" s="479">
        <f t="shared" si="23"/>
        <v>0</v>
      </c>
      <c r="P128" s="479">
        <f t="shared" si="24"/>
        <v>0</v>
      </c>
    </row>
    <row r="129" spans="2:16" ht="12.5">
      <c r="B129" s="160" t="str">
        <f t="shared" si="27"/>
        <v/>
      </c>
      <c r="C129" s="473">
        <f>IF(D93="","-",+C128+1)</f>
        <v>2038</v>
      </c>
      <c r="D129" s="347">
        <f>IF(F128+SUM(E$99:E128)=D$92,F128,D$92-SUM(E$99:E128))</f>
        <v>4798696</v>
      </c>
      <c r="E129" s="487">
        <f>IF(+J96&lt;F128,J96,D129)</f>
        <v>356479</v>
      </c>
      <c r="F129" s="486">
        <f t="shared" si="34"/>
        <v>4442217</v>
      </c>
      <c r="G129" s="486">
        <f t="shared" si="20"/>
        <v>4620456.5</v>
      </c>
      <c r="H129" s="489">
        <f t="shared" si="35"/>
        <v>832913</v>
      </c>
      <c r="I129" s="543">
        <f t="shared" si="36"/>
        <v>832913</v>
      </c>
      <c r="J129" s="479">
        <f t="shared" si="21"/>
        <v>0</v>
      </c>
      <c r="K129" s="479"/>
      <c r="L129" s="488"/>
      <c r="M129" s="479">
        <f t="shared" si="22"/>
        <v>0</v>
      </c>
      <c r="N129" s="488"/>
      <c r="O129" s="479">
        <f t="shared" si="23"/>
        <v>0</v>
      </c>
      <c r="P129" s="479">
        <f t="shared" si="24"/>
        <v>0</v>
      </c>
    </row>
    <row r="130" spans="2:16" ht="12.5">
      <c r="B130" s="160" t="str">
        <f t="shared" si="27"/>
        <v/>
      </c>
      <c r="C130" s="473">
        <f>IF(D93="","-",+C129+1)</f>
        <v>2039</v>
      </c>
      <c r="D130" s="347">
        <f>IF(F129+SUM(E$99:E129)=D$92,F129,D$92-SUM(E$99:E129))</f>
        <v>4442217</v>
      </c>
      <c r="E130" s="487">
        <f>IF(+J96&lt;F129,J96,D130)</f>
        <v>356479</v>
      </c>
      <c r="F130" s="486">
        <f t="shared" si="34"/>
        <v>4085738</v>
      </c>
      <c r="G130" s="486">
        <f t="shared" si="20"/>
        <v>4263977.5</v>
      </c>
      <c r="H130" s="489">
        <f t="shared" si="35"/>
        <v>796155</v>
      </c>
      <c r="I130" s="543">
        <f t="shared" si="36"/>
        <v>796155</v>
      </c>
      <c r="J130" s="479">
        <f t="shared" si="21"/>
        <v>0</v>
      </c>
      <c r="K130" s="479"/>
      <c r="L130" s="488"/>
      <c r="M130" s="479">
        <f t="shared" si="22"/>
        <v>0</v>
      </c>
      <c r="N130" s="488"/>
      <c r="O130" s="479">
        <f t="shared" si="23"/>
        <v>0</v>
      </c>
      <c r="P130" s="479">
        <f t="shared" si="24"/>
        <v>0</v>
      </c>
    </row>
    <row r="131" spans="2:16" ht="12.5">
      <c r="B131" s="160" t="str">
        <f t="shared" si="27"/>
        <v/>
      </c>
      <c r="C131" s="473">
        <f>IF(D93="","-",+C130+1)</f>
        <v>2040</v>
      </c>
      <c r="D131" s="347">
        <f>IF(F130+SUM(E$99:E130)=D$92,F130,D$92-SUM(E$99:E130))</f>
        <v>4085738</v>
      </c>
      <c r="E131" s="487">
        <f>IF(+J96&lt;F130,J96,D131)</f>
        <v>356479</v>
      </c>
      <c r="F131" s="486">
        <f t="shared" ref="F131:F154" si="37">+D131-E131</f>
        <v>3729259</v>
      </c>
      <c r="G131" s="486">
        <f t="shared" ref="G131:G154" si="38">+(F131+D131)/2</f>
        <v>3907498.5</v>
      </c>
      <c r="H131" s="489">
        <f t="shared" si="35"/>
        <v>759397</v>
      </c>
      <c r="I131" s="543">
        <f t="shared" si="36"/>
        <v>759397</v>
      </c>
      <c r="J131" s="479">
        <f t="shared" si="21"/>
        <v>0</v>
      </c>
      <c r="K131" s="479"/>
      <c r="L131" s="488"/>
      <c r="M131" s="479">
        <f t="shared" ref="M131:M154" si="39">IF(L131&lt;&gt;0,+H131-L131,0)</f>
        <v>0</v>
      </c>
      <c r="N131" s="488"/>
      <c r="O131" s="479">
        <f t="shared" ref="O131:O154" si="40">IF(N131&lt;&gt;0,+I131-N131,0)</f>
        <v>0</v>
      </c>
      <c r="P131" s="479">
        <f t="shared" ref="P131:P154" si="41">+O131-M131</f>
        <v>0</v>
      </c>
    </row>
    <row r="132" spans="2:16" ht="12.5">
      <c r="B132" s="160" t="str">
        <f t="shared" si="27"/>
        <v/>
      </c>
      <c r="C132" s="473">
        <f>IF(D93="","-",+C131+1)</f>
        <v>2041</v>
      </c>
      <c r="D132" s="347">
        <f>IF(F131+SUM(E$99:E131)=D$92,F131,D$92-SUM(E$99:E131))</f>
        <v>3729259</v>
      </c>
      <c r="E132" s="487">
        <f>IF(+J96&lt;F131,J96,D132)</f>
        <v>356479</v>
      </c>
      <c r="F132" s="486">
        <f t="shared" si="37"/>
        <v>3372780</v>
      </c>
      <c r="G132" s="486">
        <f t="shared" si="38"/>
        <v>3551019.5</v>
      </c>
      <c r="H132" s="489">
        <f t="shared" si="35"/>
        <v>722639</v>
      </c>
      <c r="I132" s="543">
        <f t="shared" si="36"/>
        <v>722639</v>
      </c>
      <c r="J132" s="479">
        <f t="shared" ref="J132:J154" si="42">+I132-H132</f>
        <v>0</v>
      </c>
      <c r="K132" s="479"/>
      <c r="L132" s="488"/>
      <c r="M132" s="479">
        <f t="shared" si="39"/>
        <v>0</v>
      </c>
      <c r="N132" s="488"/>
      <c r="O132" s="479">
        <f t="shared" si="40"/>
        <v>0</v>
      </c>
      <c r="P132" s="479">
        <f t="shared" si="41"/>
        <v>0</v>
      </c>
    </row>
    <row r="133" spans="2:16" ht="12.5">
      <c r="B133" s="160" t="str">
        <f t="shared" si="27"/>
        <v/>
      </c>
      <c r="C133" s="473">
        <f>IF(D93="","-",+C132+1)</f>
        <v>2042</v>
      </c>
      <c r="D133" s="347">
        <f>IF(F132+SUM(E$99:E132)=D$92,F132,D$92-SUM(E$99:E132))</f>
        <v>3372780</v>
      </c>
      <c r="E133" s="487">
        <f>IF(+J96&lt;F132,J96,D133)</f>
        <v>356479</v>
      </c>
      <c r="F133" s="486">
        <f t="shared" si="37"/>
        <v>3016301</v>
      </c>
      <c r="G133" s="486">
        <f t="shared" si="38"/>
        <v>3194540.5</v>
      </c>
      <c r="H133" s="489">
        <f t="shared" si="35"/>
        <v>685881</v>
      </c>
      <c r="I133" s="543">
        <f t="shared" si="36"/>
        <v>685881</v>
      </c>
      <c r="J133" s="479">
        <f t="shared" si="42"/>
        <v>0</v>
      </c>
      <c r="K133" s="479"/>
      <c r="L133" s="488"/>
      <c r="M133" s="479">
        <f t="shared" si="39"/>
        <v>0</v>
      </c>
      <c r="N133" s="488"/>
      <c r="O133" s="479">
        <f t="shared" si="40"/>
        <v>0</v>
      </c>
      <c r="P133" s="479">
        <f t="shared" si="41"/>
        <v>0</v>
      </c>
    </row>
    <row r="134" spans="2:16" ht="12.5">
      <c r="B134" s="160" t="str">
        <f t="shared" si="27"/>
        <v/>
      </c>
      <c r="C134" s="473">
        <f>IF(D93="","-",+C133+1)</f>
        <v>2043</v>
      </c>
      <c r="D134" s="347">
        <f>IF(F133+SUM(E$99:E133)=D$92,F133,D$92-SUM(E$99:E133))</f>
        <v>3016301</v>
      </c>
      <c r="E134" s="487">
        <f>IF(+J96&lt;F133,J96,D134)</f>
        <v>356479</v>
      </c>
      <c r="F134" s="486">
        <f t="shared" si="37"/>
        <v>2659822</v>
      </c>
      <c r="G134" s="486">
        <f t="shared" si="38"/>
        <v>2838061.5</v>
      </c>
      <c r="H134" s="489">
        <f t="shared" si="35"/>
        <v>649123</v>
      </c>
      <c r="I134" s="543">
        <f t="shared" si="36"/>
        <v>649123</v>
      </c>
      <c r="J134" s="479">
        <f t="shared" si="42"/>
        <v>0</v>
      </c>
      <c r="K134" s="479"/>
      <c r="L134" s="488"/>
      <c r="M134" s="479">
        <f t="shared" si="39"/>
        <v>0</v>
      </c>
      <c r="N134" s="488"/>
      <c r="O134" s="479">
        <f t="shared" si="40"/>
        <v>0</v>
      </c>
      <c r="P134" s="479">
        <f t="shared" si="41"/>
        <v>0</v>
      </c>
    </row>
    <row r="135" spans="2:16" ht="12.5">
      <c r="B135" s="160" t="str">
        <f t="shared" si="27"/>
        <v/>
      </c>
      <c r="C135" s="473">
        <f>IF(D93="","-",+C134+1)</f>
        <v>2044</v>
      </c>
      <c r="D135" s="347">
        <f>IF(F134+SUM(E$99:E134)=D$92,F134,D$92-SUM(E$99:E134))</f>
        <v>2659822</v>
      </c>
      <c r="E135" s="487">
        <f>IF(+J96&lt;F134,J96,D135)</f>
        <v>356479</v>
      </c>
      <c r="F135" s="486">
        <f t="shared" si="37"/>
        <v>2303343</v>
      </c>
      <c r="G135" s="486">
        <f t="shared" si="38"/>
        <v>2481582.5</v>
      </c>
      <c r="H135" s="489">
        <f t="shared" si="35"/>
        <v>612365</v>
      </c>
      <c r="I135" s="543">
        <f t="shared" si="36"/>
        <v>612365</v>
      </c>
      <c r="J135" s="479">
        <f t="shared" si="42"/>
        <v>0</v>
      </c>
      <c r="K135" s="479"/>
      <c r="L135" s="488"/>
      <c r="M135" s="479">
        <f t="shared" si="39"/>
        <v>0</v>
      </c>
      <c r="N135" s="488"/>
      <c r="O135" s="479">
        <f t="shared" si="40"/>
        <v>0</v>
      </c>
      <c r="P135" s="479">
        <f t="shared" si="41"/>
        <v>0</v>
      </c>
    </row>
    <row r="136" spans="2:16" ht="12.5">
      <c r="B136" s="160" t="str">
        <f t="shared" si="27"/>
        <v/>
      </c>
      <c r="C136" s="473">
        <f>IF(D93="","-",+C135+1)</f>
        <v>2045</v>
      </c>
      <c r="D136" s="347">
        <f>IF(F135+SUM(E$99:E135)=D$92,F135,D$92-SUM(E$99:E135))</f>
        <v>2303343</v>
      </c>
      <c r="E136" s="487">
        <f>IF(+J96&lt;F135,J96,D136)</f>
        <v>356479</v>
      </c>
      <c r="F136" s="486">
        <f t="shared" si="37"/>
        <v>1946864</v>
      </c>
      <c r="G136" s="486">
        <f t="shared" si="38"/>
        <v>2125103.5</v>
      </c>
      <c r="H136" s="489">
        <f t="shared" si="35"/>
        <v>575607</v>
      </c>
      <c r="I136" s="543">
        <f t="shared" si="36"/>
        <v>575607</v>
      </c>
      <c r="J136" s="479">
        <f t="shared" si="42"/>
        <v>0</v>
      </c>
      <c r="K136" s="479"/>
      <c r="L136" s="488"/>
      <c r="M136" s="479">
        <f t="shared" si="39"/>
        <v>0</v>
      </c>
      <c r="N136" s="488"/>
      <c r="O136" s="479">
        <f t="shared" si="40"/>
        <v>0</v>
      </c>
      <c r="P136" s="479">
        <f t="shared" si="41"/>
        <v>0</v>
      </c>
    </row>
    <row r="137" spans="2:16" ht="12.5">
      <c r="B137" s="160" t="str">
        <f t="shared" si="27"/>
        <v/>
      </c>
      <c r="C137" s="473">
        <f>IF(D93="","-",+C136+1)</f>
        <v>2046</v>
      </c>
      <c r="D137" s="347">
        <f>IF(F136+SUM(E$99:E136)=D$92,F136,D$92-SUM(E$99:E136))</f>
        <v>1946864</v>
      </c>
      <c r="E137" s="487">
        <f>IF(+J96&lt;F136,J96,D137)</f>
        <v>356479</v>
      </c>
      <c r="F137" s="486">
        <f t="shared" si="37"/>
        <v>1590385</v>
      </c>
      <c r="G137" s="486">
        <f t="shared" si="38"/>
        <v>1768624.5</v>
      </c>
      <c r="H137" s="489">
        <f t="shared" si="35"/>
        <v>538849</v>
      </c>
      <c r="I137" s="543">
        <f t="shared" si="36"/>
        <v>538849</v>
      </c>
      <c r="J137" s="479">
        <f t="shared" si="42"/>
        <v>0</v>
      </c>
      <c r="K137" s="479"/>
      <c r="L137" s="488"/>
      <c r="M137" s="479">
        <f t="shared" si="39"/>
        <v>0</v>
      </c>
      <c r="N137" s="488"/>
      <c r="O137" s="479">
        <f t="shared" si="40"/>
        <v>0</v>
      </c>
      <c r="P137" s="479">
        <f t="shared" si="41"/>
        <v>0</v>
      </c>
    </row>
    <row r="138" spans="2:16" ht="12.5">
      <c r="B138" s="160" t="str">
        <f t="shared" si="27"/>
        <v/>
      </c>
      <c r="C138" s="473">
        <f>IF(D93="","-",+C137+1)</f>
        <v>2047</v>
      </c>
      <c r="D138" s="347">
        <f>IF(F137+SUM(E$99:E137)=D$92,F137,D$92-SUM(E$99:E137))</f>
        <v>1590385</v>
      </c>
      <c r="E138" s="487">
        <f>IF(+J96&lt;F137,J96,D138)</f>
        <v>356479</v>
      </c>
      <c r="F138" s="486">
        <f t="shared" si="37"/>
        <v>1233906</v>
      </c>
      <c r="G138" s="486">
        <f t="shared" si="38"/>
        <v>1412145.5</v>
      </c>
      <c r="H138" s="489">
        <f t="shared" si="35"/>
        <v>502091</v>
      </c>
      <c r="I138" s="543">
        <f t="shared" si="36"/>
        <v>502091</v>
      </c>
      <c r="J138" s="479">
        <f t="shared" si="42"/>
        <v>0</v>
      </c>
      <c r="K138" s="479"/>
      <c r="L138" s="488"/>
      <c r="M138" s="479">
        <f t="shared" si="39"/>
        <v>0</v>
      </c>
      <c r="N138" s="488"/>
      <c r="O138" s="479">
        <f t="shared" si="40"/>
        <v>0</v>
      </c>
      <c r="P138" s="479">
        <f t="shared" si="41"/>
        <v>0</v>
      </c>
    </row>
    <row r="139" spans="2:16" ht="12.5">
      <c r="B139" s="160" t="str">
        <f t="shared" si="27"/>
        <v/>
      </c>
      <c r="C139" s="473">
        <f>IF(D93="","-",+C138+1)</f>
        <v>2048</v>
      </c>
      <c r="D139" s="347">
        <f>IF(F138+SUM(E$99:E138)=D$92,F138,D$92-SUM(E$99:E138))</f>
        <v>1233906</v>
      </c>
      <c r="E139" s="487">
        <f>IF(+J96&lt;F138,J96,D139)</f>
        <v>356479</v>
      </c>
      <c r="F139" s="486">
        <f t="shared" si="37"/>
        <v>877427</v>
      </c>
      <c r="G139" s="486">
        <f t="shared" si="38"/>
        <v>1055666.5</v>
      </c>
      <c r="H139" s="489">
        <f t="shared" si="35"/>
        <v>465333</v>
      </c>
      <c r="I139" s="543">
        <f t="shared" si="36"/>
        <v>465333</v>
      </c>
      <c r="J139" s="479">
        <f t="shared" si="42"/>
        <v>0</v>
      </c>
      <c r="K139" s="479"/>
      <c r="L139" s="488"/>
      <c r="M139" s="479">
        <f t="shared" si="39"/>
        <v>0</v>
      </c>
      <c r="N139" s="488"/>
      <c r="O139" s="479">
        <f t="shared" si="40"/>
        <v>0</v>
      </c>
      <c r="P139" s="479">
        <f t="shared" si="41"/>
        <v>0</v>
      </c>
    </row>
    <row r="140" spans="2:16" ht="12.5">
      <c r="B140" s="160" t="str">
        <f t="shared" si="27"/>
        <v/>
      </c>
      <c r="C140" s="473">
        <f>IF(D93="","-",+C139+1)</f>
        <v>2049</v>
      </c>
      <c r="D140" s="347">
        <f>IF(F139+SUM(E$99:E139)=D$92,F139,D$92-SUM(E$99:E139))</f>
        <v>877427</v>
      </c>
      <c r="E140" s="487">
        <f>IF(+J96&lt;F139,J96,D140)</f>
        <v>356479</v>
      </c>
      <c r="F140" s="486">
        <f t="shared" si="37"/>
        <v>520948</v>
      </c>
      <c r="G140" s="486">
        <f t="shared" si="38"/>
        <v>699187.5</v>
      </c>
      <c r="H140" s="489">
        <f t="shared" si="35"/>
        <v>428575</v>
      </c>
      <c r="I140" s="543">
        <f t="shared" si="36"/>
        <v>428575</v>
      </c>
      <c r="J140" s="479">
        <f t="shared" si="42"/>
        <v>0</v>
      </c>
      <c r="K140" s="479"/>
      <c r="L140" s="488"/>
      <c r="M140" s="479">
        <f t="shared" si="39"/>
        <v>0</v>
      </c>
      <c r="N140" s="488"/>
      <c r="O140" s="479">
        <f t="shared" si="40"/>
        <v>0</v>
      </c>
      <c r="P140" s="479">
        <f t="shared" si="41"/>
        <v>0</v>
      </c>
    </row>
    <row r="141" spans="2:16" ht="12.5">
      <c r="B141" s="160" t="str">
        <f t="shared" si="27"/>
        <v/>
      </c>
      <c r="C141" s="473">
        <f>IF(D93="","-",+C140+1)</f>
        <v>2050</v>
      </c>
      <c r="D141" s="347">
        <f>IF(F140+SUM(E$99:E140)=D$92,F140,D$92-SUM(E$99:E140))</f>
        <v>520948</v>
      </c>
      <c r="E141" s="487">
        <f>IF(+J96&lt;F140,J96,D141)</f>
        <v>356479</v>
      </c>
      <c r="F141" s="486">
        <f t="shared" si="37"/>
        <v>164469</v>
      </c>
      <c r="G141" s="486">
        <f t="shared" si="38"/>
        <v>342708.5</v>
      </c>
      <c r="H141" s="489">
        <f t="shared" si="35"/>
        <v>391817</v>
      </c>
      <c r="I141" s="543">
        <f t="shared" si="36"/>
        <v>391817</v>
      </c>
      <c r="J141" s="479">
        <f t="shared" si="42"/>
        <v>0</v>
      </c>
      <c r="K141" s="479"/>
      <c r="L141" s="488"/>
      <c r="M141" s="479">
        <f t="shared" si="39"/>
        <v>0</v>
      </c>
      <c r="N141" s="488"/>
      <c r="O141" s="479">
        <f t="shared" si="40"/>
        <v>0</v>
      </c>
      <c r="P141" s="479">
        <f t="shared" si="41"/>
        <v>0</v>
      </c>
    </row>
    <row r="142" spans="2:16" ht="12.5">
      <c r="B142" s="160" t="str">
        <f t="shared" si="27"/>
        <v/>
      </c>
      <c r="C142" s="473">
        <f>IF(D93="","-",+C141+1)</f>
        <v>2051</v>
      </c>
      <c r="D142" s="347">
        <f>IF(F141+SUM(E$99:E141)=D$92,F141,D$92-SUM(E$99:E141))</f>
        <v>164469</v>
      </c>
      <c r="E142" s="487">
        <f>IF(+J96&lt;F141,J96,D142)</f>
        <v>164469</v>
      </c>
      <c r="F142" s="486">
        <f t="shared" si="37"/>
        <v>0</v>
      </c>
      <c r="G142" s="486">
        <f t="shared" si="38"/>
        <v>82234.5</v>
      </c>
      <c r="H142" s="489">
        <f t="shared" si="35"/>
        <v>172949</v>
      </c>
      <c r="I142" s="543">
        <f t="shared" si="36"/>
        <v>172949</v>
      </c>
      <c r="J142" s="479">
        <f t="shared" si="42"/>
        <v>0</v>
      </c>
      <c r="K142" s="479"/>
      <c r="L142" s="488"/>
      <c r="M142" s="479">
        <f t="shared" si="39"/>
        <v>0</v>
      </c>
      <c r="N142" s="488"/>
      <c r="O142" s="479">
        <f t="shared" si="40"/>
        <v>0</v>
      </c>
      <c r="P142" s="479">
        <f t="shared" si="41"/>
        <v>0</v>
      </c>
    </row>
    <row r="143" spans="2:16" ht="12.5">
      <c r="B143" s="160" t="str">
        <f t="shared" si="27"/>
        <v/>
      </c>
      <c r="C143" s="473">
        <f>IF(D93="","-",+C142+1)</f>
        <v>2052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7"/>
        <v>0</v>
      </c>
      <c r="G143" s="486">
        <f t="shared" si="38"/>
        <v>0</v>
      </c>
      <c r="H143" s="489">
        <f t="shared" si="35"/>
        <v>0</v>
      </c>
      <c r="I143" s="543">
        <f t="shared" si="36"/>
        <v>0</v>
      </c>
      <c r="J143" s="479">
        <f t="shared" si="42"/>
        <v>0</v>
      </c>
      <c r="K143" s="479"/>
      <c r="L143" s="488"/>
      <c r="M143" s="479">
        <f t="shared" si="39"/>
        <v>0</v>
      </c>
      <c r="N143" s="488"/>
      <c r="O143" s="479">
        <f t="shared" si="40"/>
        <v>0</v>
      </c>
      <c r="P143" s="479">
        <f t="shared" si="41"/>
        <v>0</v>
      </c>
    </row>
    <row r="144" spans="2:16" ht="12.5">
      <c r="B144" s="160" t="str">
        <f t="shared" si="27"/>
        <v/>
      </c>
      <c r="C144" s="473">
        <f>IF(D93="","-",+C143+1)</f>
        <v>2053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7"/>
        <v>0</v>
      </c>
      <c r="G144" s="486">
        <f t="shared" si="38"/>
        <v>0</v>
      </c>
      <c r="H144" s="489">
        <f t="shared" si="35"/>
        <v>0</v>
      </c>
      <c r="I144" s="543">
        <f t="shared" si="36"/>
        <v>0</v>
      </c>
      <c r="J144" s="479">
        <f t="shared" si="42"/>
        <v>0</v>
      </c>
      <c r="K144" s="479"/>
      <c r="L144" s="488"/>
      <c r="M144" s="479">
        <f t="shared" si="39"/>
        <v>0</v>
      </c>
      <c r="N144" s="488"/>
      <c r="O144" s="479">
        <f t="shared" si="40"/>
        <v>0</v>
      </c>
      <c r="P144" s="479">
        <f t="shared" si="41"/>
        <v>0</v>
      </c>
    </row>
    <row r="145" spans="2:16" ht="12.5">
      <c r="B145" s="160" t="str">
        <f t="shared" si="27"/>
        <v/>
      </c>
      <c r="C145" s="473">
        <f>IF(D93="","-",+C144+1)</f>
        <v>2054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7"/>
        <v>0</v>
      </c>
      <c r="G145" s="486">
        <f t="shared" si="38"/>
        <v>0</v>
      </c>
      <c r="H145" s="489">
        <f t="shared" si="35"/>
        <v>0</v>
      </c>
      <c r="I145" s="543">
        <f t="shared" si="36"/>
        <v>0</v>
      </c>
      <c r="J145" s="479">
        <f t="shared" si="42"/>
        <v>0</v>
      </c>
      <c r="K145" s="479"/>
      <c r="L145" s="488"/>
      <c r="M145" s="479">
        <f t="shared" si="39"/>
        <v>0</v>
      </c>
      <c r="N145" s="488"/>
      <c r="O145" s="479">
        <f t="shared" si="40"/>
        <v>0</v>
      </c>
      <c r="P145" s="479">
        <f t="shared" si="41"/>
        <v>0</v>
      </c>
    </row>
    <row r="146" spans="2:16" ht="12.5">
      <c r="B146" s="160" t="str">
        <f t="shared" si="27"/>
        <v/>
      </c>
      <c r="C146" s="473">
        <f>IF(D93="","-",+C145+1)</f>
        <v>2055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7"/>
        <v>0</v>
      </c>
      <c r="G146" s="486">
        <f t="shared" si="38"/>
        <v>0</v>
      </c>
      <c r="H146" s="489">
        <f t="shared" si="35"/>
        <v>0</v>
      </c>
      <c r="I146" s="543">
        <f t="shared" si="36"/>
        <v>0</v>
      </c>
      <c r="J146" s="479">
        <f t="shared" si="42"/>
        <v>0</v>
      </c>
      <c r="K146" s="479"/>
      <c r="L146" s="488"/>
      <c r="M146" s="479">
        <f t="shared" si="39"/>
        <v>0</v>
      </c>
      <c r="N146" s="488"/>
      <c r="O146" s="479">
        <f t="shared" si="40"/>
        <v>0</v>
      </c>
      <c r="P146" s="479">
        <f t="shared" si="41"/>
        <v>0</v>
      </c>
    </row>
    <row r="147" spans="2:16" ht="12.5">
      <c r="B147" s="160" t="str">
        <f t="shared" si="27"/>
        <v/>
      </c>
      <c r="C147" s="473">
        <f>IF(D93="","-",+C146+1)</f>
        <v>2056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7"/>
        <v>0</v>
      </c>
      <c r="G147" s="486">
        <f t="shared" si="38"/>
        <v>0</v>
      </c>
      <c r="H147" s="489">
        <f t="shared" si="35"/>
        <v>0</v>
      </c>
      <c r="I147" s="543">
        <f t="shared" si="36"/>
        <v>0</v>
      </c>
      <c r="J147" s="479">
        <f t="shared" si="42"/>
        <v>0</v>
      </c>
      <c r="K147" s="479"/>
      <c r="L147" s="488"/>
      <c r="M147" s="479">
        <f t="shared" si="39"/>
        <v>0</v>
      </c>
      <c r="N147" s="488"/>
      <c r="O147" s="479">
        <f t="shared" si="40"/>
        <v>0</v>
      </c>
      <c r="P147" s="479">
        <f t="shared" si="41"/>
        <v>0</v>
      </c>
    </row>
    <row r="148" spans="2:16" ht="12.5">
      <c r="B148" s="160" t="str">
        <f t="shared" si="27"/>
        <v/>
      </c>
      <c r="C148" s="473">
        <f>IF(D93="","-",+C147+1)</f>
        <v>2057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7"/>
        <v>0</v>
      </c>
      <c r="G148" s="486">
        <f t="shared" si="38"/>
        <v>0</v>
      </c>
      <c r="H148" s="489">
        <f t="shared" si="35"/>
        <v>0</v>
      </c>
      <c r="I148" s="543">
        <f t="shared" si="36"/>
        <v>0</v>
      </c>
      <c r="J148" s="479">
        <f t="shared" si="42"/>
        <v>0</v>
      </c>
      <c r="K148" s="479"/>
      <c r="L148" s="488"/>
      <c r="M148" s="479">
        <f t="shared" si="39"/>
        <v>0</v>
      </c>
      <c r="N148" s="488"/>
      <c r="O148" s="479">
        <f t="shared" si="40"/>
        <v>0</v>
      </c>
      <c r="P148" s="479">
        <f t="shared" si="41"/>
        <v>0</v>
      </c>
    </row>
    <row r="149" spans="2:16" ht="12.5">
      <c r="B149" s="160" t="str">
        <f t="shared" si="27"/>
        <v/>
      </c>
      <c r="C149" s="473">
        <f>IF(D93="","-",+C148+1)</f>
        <v>2058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7"/>
        <v>0</v>
      </c>
      <c r="G149" s="486">
        <f t="shared" si="38"/>
        <v>0</v>
      </c>
      <c r="H149" s="489">
        <f t="shared" si="35"/>
        <v>0</v>
      </c>
      <c r="I149" s="543">
        <f t="shared" si="36"/>
        <v>0</v>
      </c>
      <c r="J149" s="479">
        <f t="shared" si="42"/>
        <v>0</v>
      </c>
      <c r="K149" s="479"/>
      <c r="L149" s="488"/>
      <c r="M149" s="479">
        <f t="shared" si="39"/>
        <v>0</v>
      </c>
      <c r="N149" s="488"/>
      <c r="O149" s="479">
        <f t="shared" si="40"/>
        <v>0</v>
      </c>
      <c r="P149" s="479">
        <f t="shared" si="41"/>
        <v>0</v>
      </c>
    </row>
    <row r="150" spans="2:16" ht="12.5">
      <c r="B150" s="160" t="str">
        <f t="shared" si="27"/>
        <v/>
      </c>
      <c r="C150" s="473">
        <f>IF(D93="","-",+C149+1)</f>
        <v>2059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7"/>
        <v>0</v>
      </c>
      <c r="G150" s="486">
        <f t="shared" si="38"/>
        <v>0</v>
      </c>
      <c r="H150" s="489">
        <f t="shared" si="35"/>
        <v>0</v>
      </c>
      <c r="I150" s="543">
        <f t="shared" si="36"/>
        <v>0</v>
      </c>
      <c r="J150" s="479">
        <f t="shared" si="42"/>
        <v>0</v>
      </c>
      <c r="K150" s="479"/>
      <c r="L150" s="488"/>
      <c r="M150" s="479">
        <f t="shared" si="39"/>
        <v>0</v>
      </c>
      <c r="N150" s="488"/>
      <c r="O150" s="479">
        <f t="shared" si="40"/>
        <v>0</v>
      </c>
      <c r="P150" s="479">
        <f t="shared" si="41"/>
        <v>0</v>
      </c>
    </row>
    <row r="151" spans="2:16" ht="12.5">
      <c r="B151" s="160" t="str">
        <f t="shared" si="27"/>
        <v/>
      </c>
      <c r="C151" s="473">
        <f>IF(D93="","-",+C150+1)</f>
        <v>2060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7"/>
        <v>0</v>
      </c>
      <c r="G151" s="486">
        <f t="shared" si="38"/>
        <v>0</v>
      </c>
      <c r="H151" s="489">
        <f t="shared" si="35"/>
        <v>0</v>
      </c>
      <c r="I151" s="543">
        <f t="shared" si="36"/>
        <v>0</v>
      </c>
      <c r="J151" s="479">
        <f t="shared" si="42"/>
        <v>0</v>
      </c>
      <c r="K151" s="479"/>
      <c r="L151" s="488"/>
      <c r="M151" s="479">
        <f t="shared" si="39"/>
        <v>0</v>
      </c>
      <c r="N151" s="488"/>
      <c r="O151" s="479">
        <f t="shared" si="40"/>
        <v>0</v>
      </c>
      <c r="P151" s="479">
        <f t="shared" si="41"/>
        <v>0</v>
      </c>
    </row>
    <row r="152" spans="2:16" ht="12.5">
      <c r="B152" s="160" t="str">
        <f t="shared" si="27"/>
        <v/>
      </c>
      <c r="C152" s="473">
        <f>IF(D93="","-",+C151+1)</f>
        <v>2061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7"/>
        <v>0</v>
      </c>
      <c r="G152" s="486">
        <f t="shared" si="38"/>
        <v>0</v>
      </c>
      <c r="H152" s="489">
        <f t="shared" si="35"/>
        <v>0</v>
      </c>
      <c r="I152" s="543">
        <f t="shared" si="36"/>
        <v>0</v>
      </c>
      <c r="J152" s="479">
        <f t="shared" si="42"/>
        <v>0</v>
      </c>
      <c r="K152" s="479"/>
      <c r="L152" s="488"/>
      <c r="M152" s="479">
        <f t="shared" si="39"/>
        <v>0</v>
      </c>
      <c r="N152" s="488"/>
      <c r="O152" s="479">
        <f t="shared" si="40"/>
        <v>0</v>
      </c>
      <c r="P152" s="479">
        <f t="shared" si="41"/>
        <v>0</v>
      </c>
    </row>
    <row r="153" spans="2:16" ht="12.5">
      <c r="B153" s="160" t="str">
        <f t="shared" si="27"/>
        <v/>
      </c>
      <c r="C153" s="473">
        <f>IF(D93="","-",+C152+1)</f>
        <v>2062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7"/>
        <v>0</v>
      </c>
      <c r="G153" s="486">
        <f t="shared" si="38"/>
        <v>0</v>
      </c>
      <c r="H153" s="489">
        <f t="shared" si="35"/>
        <v>0</v>
      </c>
      <c r="I153" s="543">
        <f t="shared" si="36"/>
        <v>0</v>
      </c>
      <c r="J153" s="479">
        <f t="shared" si="42"/>
        <v>0</v>
      </c>
      <c r="K153" s="479"/>
      <c r="L153" s="488"/>
      <c r="M153" s="479">
        <f t="shared" si="39"/>
        <v>0</v>
      </c>
      <c r="N153" s="488"/>
      <c r="O153" s="479">
        <f t="shared" si="40"/>
        <v>0</v>
      </c>
      <c r="P153" s="479">
        <f t="shared" si="41"/>
        <v>0</v>
      </c>
    </row>
    <row r="154" spans="2:16" ht="13" thickBot="1">
      <c r="B154" s="160" t="str">
        <f t="shared" si="27"/>
        <v/>
      </c>
      <c r="C154" s="490">
        <f>IF(D93="","-",+C153+1)</f>
        <v>2063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7"/>
        <v>0</v>
      </c>
      <c r="G154" s="491">
        <f t="shared" si="38"/>
        <v>0</v>
      </c>
      <c r="H154" s="493">
        <f t="shared" si="35"/>
        <v>0</v>
      </c>
      <c r="I154" s="546">
        <f t="shared" si="36"/>
        <v>0</v>
      </c>
      <c r="J154" s="496">
        <f t="shared" si="42"/>
        <v>0</v>
      </c>
      <c r="K154" s="479"/>
      <c r="L154" s="495"/>
      <c r="M154" s="496">
        <f t="shared" si="39"/>
        <v>0</v>
      </c>
      <c r="N154" s="495"/>
      <c r="O154" s="496">
        <f t="shared" si="40"/>
        <v>0</v>
      </c>
      <c r="P154" s="496">
        <f t="shared" si="41"/>
        <v>0</v>
      </c>
    </row>
    <row r="155" spans="2:16" ht="12.5">
      <c r="C155" s="347" t="s">
        <v>77</v>
      </c>
      <c r="D155" s="348"/>
      <c r="E155" s="348">
        <f>SUM(E99:E154)</f>
        <v>14615636</v>
      </c>
      <c r="F155" s="348"/>
      <c r="G155" s="348"/>
      <c r="H155" s="348">
        <f>SUM(H99:H154)</f>
        <v>53184520</v>
      </c>
      <c r="I155" s="348">
        <f>SUM(I99:I154)</f>
        <v>53184520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5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41809.897213779383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41809.897213779383</v>
      </c>
      <c r="O6" s="233"/>
      <c r="P6" s="233"/>
    </row>
    <row r="7" spans="1:16" ht="13.5" thickBot="1">
      <c r="C7" s="432" t="s">
        <v>46</v>
      </c>
      <c r="D7" s="433" t="s">
        <v>206</v>
      </c>
      <c r="E7" s="330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83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f>387742</f>
        <v>387742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2006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8616.4888888888891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2006</v>
      </c>
      <c r="D17" s="474">
        <v>387742</v>
      </c>
      <c r="E17" s="475">
        <v>3877</v>
      </c>
      <c r="F17" s="474">
        <v>383865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/>
      <c r="C18" s="473">
        <f>IF(D11="","-",+C17+1)</f>
        <v>2007</v>
      </c>
      <c r="D18" s="480">
        <v>383865</v>
      </c>
      <c r="E18" s="481">
        <v>7755</v>
      </c>
      <c r="F18" s="480">
        <v>376110</v>
      </c>
      <c r="G18" s="480">
        <v>59847</v>
      </c>
      <c r="H18" s="480">
        <v>59847</v>
      </c>
      <c r="I18" s="476">
        <f t="shared" si="0"/>
        <v>0</v>
      </c>
      <c r="J18" s="476"/>
      <c r="K18" s="477">
        <v>59847</v>
      </c>
      <c r="L18" s="479">
        <f t="shared" si="1"/>
        <v>0</v>
      </c>
      <c r="M18" s="477">
        <v>59847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/>
      <c r="C19" s="473">
        <f>IF(D11="","-",+C18+1)</f>
        <v>2008</v>
      </c>
      <c r="D19" s="480">
        <v>376557</v>
      </c>
      <c r="E19" s="562">
        <v>7457</v>
      </c>
      <c r="F19" s="480">
        <v>369100</v>
      </c>
      <c r="G19" s="480">
        <v>62208</v>
      </c>
      <c r="H19" s="480">
        <v>62208</v>
      </c>
      <c r="I19" s="476">
        <f t="shared" si="0"/>
        <v>0</v>
      </c>
      <c r="J19" s="476"/>
      <c r="K19" s="477">
        <v>62208</v>
      </c>
      <c r="L19" s="479">
        <f t="shared" si="1"/>
        <v>0</v>
      </c>
      <c r="M19" s="477">
        <v>62208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/>
      <c r="C20" s="473">
        <f>IF(D11="","-",+C19+1)</f>
        <v>2009</v>
      </c>
      <c r="D20" s="480">
        <v>368843</v>
      </c>
      <c r="E20" s="562">
        <v>7316</v>
      </c>
      <c r="F20" s="480">
        <v>361527</v>
      </c>
      <c r="G20" s="480">
        <v>62704</v>
      </c>
      <c r="H20" s="480">
        <v>62704</v>
      </c>
      <c r="I20" s="476">
        <f t="shared" si="0"/>
        <v>0</v>
      </c>
      <c r="J20" s="476"/>
      <c r="K20" s="477">
        <v>62704</v>
      </c>
      <c r="L20" s="479">
        <f t="shared" si="1"/>
        <v>0</v>
      </c>
      <c r="M20" s="477">
        <v>62704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/>
      <c r="C21" s="473">
        <f>IF(D12="","-",+C20+1)</f>
        <v>2010</v>
      </c>
      <c r="D21" s="480">
        <v>361337</v>
      </c>
      <c r="E21" s="481">
        <v>6923.9642857142853</v>
      </c>
      <c r="F21" s="480">
        <v>354413.03571428574</v>
      </c>
      <c r="G21" s="481">
        <v>58064.529944767884</v>
      </c>
      <c r="H21" s="482">
        <v>58064.529944767884</v>
      </c>
      <c r="I21" s="476">
        <f t="shared" si="0"/>
        <v>0</v>
      </c>
      <c r="J21" s="476"/>
      <c r="K21" s="541">
        <f t="shared" ref="K21:K26" si="4">G21</f>
        <v>58064.529944767884</v>
      </c>
      <c r="L21" s="479">
        <f t="shared" si="1"/>
        <v>0</v>
      </c>
      <c r="M21" s="541">
        <f t="shared" ref="M21:M26" si="5">H21</f>
        <v>58064.529944767884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ref="B22:B72" si="6">IF(D22=F21,"","IU")</f>
        <v/>
      </c>
      <c r="C22" s="473">
        <f>IF(D11="","-",+C21+1)</f>
        <v>2011</v>
      </c>
      <c r="D22" s="480">
        <v>354413.03571428574</v>
      </c>
      <c r="E22" s="481">
        <v>7602.7843137254904</v>
      </c>
      <c r="F22" s="480">
        <v>346810.25140056026</v>
      </c>
      <c r="G22" s="481">
        <v>61893.620096156621</v>
      </c>
      <c r="H22" s="482">
        <v>61893.620096156621</v>
      </c>
      <c r="I22" s="476">
        <f t="shared" si="0"/>
        <v>0</v>
      </c>
      <c r="J22" s="476"/>
      <c r="K22" s="477">
        <f t="shared" si="4"/>
        <v>61893.620096156621</v>
      </c>
      <c r="L22" s="551">
        <f t="shared" si="1"/>
        <v>0</v>
      </c>
      <c r="M22" s="477">
        <f t="shared" si="5"/>
        <v>61893.620096156621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6"/>
        <v/>
      </c>
      <c r="C23" s="473">
        <f>IF(D11="","-",+C22+1)</f>
        <v>2012</v>
      </c>
      <c r="D23" s="480">
        <v>346810.25140056026</v>
      </c>
      <c r="E23" s="481">
        <v>7456.5769230769229</v>
      </c>
      <c r="F23" s="480">
        <v>339353.67447748332</v>
      </c>
      <c r="G23" s="481">
        <v>54696.893588724874</v>
      </c>
      <c r="H23" s="482">
        <v>54696.893588724874</v>
      </c>
      <c r="I23" s="476">
        <f t="shared" si="0"/>
        <v>0</v>
      </c>
      <c r="J23" s="476"/>
      <c r="K23" s="477">
        <f t="shared" si="4"/>
        <v>54696.893588724874</v>
      </c>
      <c r="L23" s="551">
        <f t="shared" si="1"/>
        <v>0</v>
      </c>
      <c r="M23" s="477">
        <f t="shared" si="5"/>
        <v>54696.893588724874</v>
      </c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6"/>
        <v/>
      </c>
      <c r="C24" s="473">
        <f>IF(D11="","-",+C23+1)</f>
        <v>2013</v>
      </c>
      <c r="D24" s="480">
        <v>339353.67447748332</v>
      </c>
      <c r="E24" s="481">
        <v>7456.5769230769229</v>
      </c>
      <c r="F24" s="480">
        <v>331897.09755440638</v>
      </c>
      <c r="G24" s="481">
        <v>54853.72619811543</v>
      </c>
      <c r="H24" s="482">
        <v>54853.72619811543</v>
      </c>
      <c r="I24" s="476">
        <v>0</v>
      </c>
      <c r="J24" s="476"/>
      <c r="K24" s="477">
        <f t="shared" si="4"/>
        <v>54853.72619811543</v>
      </c>
      <c r="L24" s="551">
        <f t="shared" ref="L24:L29" si="7">IF(K24&lt;&gt;0,+G24-K24,0)</f>
        <v>0</v>
      </c>
      <c r="M24" s="477">
        <f t="shared" si="5"/>
        <v>54853.72619811543</v>
      </c>
      <c r="N24" s="479">
        <f t="shared" ref="N24:N29" si="8">IF(M24&lt;&gt;0,+H24-M24,0)</f>
        <v>0</v>
      </c>
      <c r="O24" s="479">
        <f t="shared" ref="O24:O29" si="9">+N24-L24</f>
        <v>0</v>
      </c>
      <c r="P24" s="243"/>
    </row>
    <row r="25" spans="2:16" ht="12.5">
      <c r="B25" s="160" t="str">
        <f t="shared" si="6"/>
        <v/>
      </c>
      <c r="C25" s="473">
        <f>IF(D11="","-",+C24+1)</f>
        <v>2014</v>
      </c>
      <c r="D25" s="480">
        <v>331897.09755440638</v>
      </c>
      <c r="E25" s="481">
        <v>7456.5769230769229</v>
      </c>
      <c r="F25" s="480">
        <v>324440.52063132945</v>
      </c>
      <c r="G25" s="481">
        <v>52118.659182147123</v>
      </c>
      <c r="H25" s="482">
        <v>52118.659182147123</v>
      </c>
      <c r="I25" s="476">
        <v>0</v>
      </c>
      <c r="J25" s="476"/>
      <c r="K25" s="477">
        <f t="shared" si="4"/>
        <v>52118.659182147123</v>
      </c>
      <c r="L25" s="551">
        <f t="shared" si="7"/>
        <v>0</v>
      </c>
      <c r="M25" s="477">
        <f t="shared" si="5"/>
        <v>52118.659182147123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2015</v>
      </c>
      <c r="D26" s="480">
        <v>324440.52063132945</v>
      </c>
      <c r="E26" s="481">
        <v>7456.5769230769229</v>
      </c>
      <c r="F26" s="480">
        <v>316983.94370825251</v>
      </c>
      <c r="G26" s="481">
        <v>51159.678410482353</v>
      </c>
      <c r="H26" s="482">
        <v>51159.678410482353</v>
      </c>
      <c r="I26" s="476">
        <v>0</v>
      </c>
      <c r="J26" s="476"/>
      <c r="K26" s="477">
        <f t="shared" si="4"/>
        <v>51159.678410482353</v>
      </c>
      <c r="L26" s="551">
        <f t="shared" si="7"/>
        <v>0</v>
      </c>
      <c r="M26" s="477">
        <f t="shared" si="5"/>
        <v>51159.678410482353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2016</v>
      </c>
      <c r="D27" s="480">
        <v>316983.94370825251</v>
      </c>
      <c r="E27" s="481">
        <v>7456.5769230769229</v>
      </c>
      <c r="F27" s="480">
        <v>309527.36678517557</v>
      </c>
      <c r="G27" s="481">
        <v>48054.073071867475</v>
      </c>
      <c r="H27" s="482">
        <v>48054.073071867475</v>
      </c>
      <c r="I27" s="476">
        <f t="shared" si="0"/>
        <v>0</v>
      </c>
      <c r="J27" s="476"/>
      <c r="K27" s="477">
        <f>G27</f>
        <v>48054.073071867475</v>
      </c>
      <c r="L27" s="551">
        <f t="shared" si="7"/>
        <v>0</v>
      </c>
      <c r="M27" s="477">
        <f>H27</f>
        <v>48054.073071867475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6"/>
        <v/>
      </c>
      <c r="C28" s="473">
        <f>IF(D11="","-",+C27+1)</f>
        <v>2017</v>
      </c>
      <c r="D28" s="480">
        <v>309527.36678517557</v>
      </c>
      <c r="E28" s="481">
        <v>8429.173913043478</v>
      </c>
      <c r="F28" s="480">
        <v>301098.19287213212</v>
      </c>
      <c r="G28" s="481">
        <v>46747.12706959022</v>
      </c>
      <c r="H28" s="482">
        <v>46747.12706959022</v>
      </c>
      <c r="I28" s="476">
        <f t="shared" si="0"/>
        <v>0</v>
      </c>
      <c r="J28" s="476"/>
      <c r="K28" s="477">
        <f>G28</f>
        <v>46747.12706959022</v>
      </c>
      <c r="L28" s="551">
        <f t="shared" si="7"/>
        <v>0</v>
      </c>
      <c r="M28" s="477">
        <f>H28</f>
        <v>46747.12706959022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6"/>
        <v/>
      </c>
      <c r="C29" s="473">
        <f>IF(D11="","-",+C28+1)</f>
        <v>2018</v>
      </c>
      <c r="D29" s="480">
        <v>301098.19287213212</v>
      </c>
      <c r="E29" s="481">
        <v>8616.4888888888891</v>
      </c>
      <c r="F29" s="480">
        <v>292481.70398324321</v>
      </c>
      <c r="G29" s="481">
        <v>44159.738725302646</v>
      </c>
      <c r="H29" s="482">
        <v>44159.738725302646</v>
      </c>
      <c r="I29" s="476">
        <f t="shared" si="0"/>
        <v>0</v>
      </c>
      <c r="J29" s="476"/>
      <c r="K29" s="477">
        <f>G29</f>
        <v>44159.738725302646</v>
      </c>
      <c r="L29" s="551">
        <f t="shared" si="7"/>
        <v>0</v>
      </c>
      <c r="M29" s="477">
        <f>H29</f>
        <v>44159.738725302646</v>
      </c>
      <c r="N29" s="479">
        <f t="shared" si="8"/>
        <v>0</v>
      </c>
      <c r="O29" s="479">
        <f t="shared" si="9"/>
        <v>0</v>
      </c>
      <c r="P29" s="243"/>
    </row>
    <row r="30" spans="2:16" ht="12.5">
      <c r="B30" s="160" t="str">
        <f t="shared" si="6"/>
        <v/>
      </c>
      <c r="C30" s="473">
        <f>IF(D11="","-",+C29+1)</f>
        <v>2019</v>
      </c>
      <c r="D30" s="480">
        <v>292481.70398324321</v>
      </c>
      <c r="E30" s="481">
        <v>9693.5499999999993</v>
      </c>
      <c r="F30" s="480">
        <v>282788.15398324322</v>
      </c>
      <c r="G30" s="481">
        <v>41809.897213779383</v>
      </c>
      <c r="H30" s="482">
        <v>41809.897213779383</v>
      </c>
      <c r="I30" s="476">
        <f t="shared" si="0"/>
        <v>0</v>
      </c>
      <c r="J30" s="476"/>
      <c r="K30" s="477">
        <f>G30</f>
        <v>41809.897213779383</v>
      </c>
      <c r="L30" s="551">
        <f t="shared" ref="L30" si="10">IF(K30&lt;&gt;0,+G30-K30,0)</f>
        <v>0</v>
      </c>
      <c r="M30" s="477">
        <f>H30</f>
        <v>41809.897213779383</v>
      </c>
      <c r="N30" s="479">
        <f t="shared" ref="N30" si="11">IF(M30&lt;&gt;0,+H30-M30,0)</f>
        <v>0</v>
      </c>
      <c r="O30" s="479">
        <f t="shared" ref="O30" si="12">+N30-L30</f>
        <v>0</v>
      </c>
      <c r="P30" s="243"/>
    </row>
    <row r="31" spans="2:16" ht="12.5">
      <c r="B31" s="160" t="str">
        <f t="shared" si="6"/>
        <v/>
      </c>
      <c r="C31" s="473">
        <f>IF(D11="","-",+C30+1)</f>
        <v>2020</v>
      </c>
      <c r="D31" s="486">
        <f>IF(F30+SUM(E$17:E30)=D$10,F30,D$10-SUM(E$17:E30))</f>
        <v>282788.15398324322</v>
      </c>
      <c r="E31" s="485">
        <f>IF(+I14&lt;F30,I14,D31)</f>
        <v>8616.4888888888891</v>
      </c>
      <c r="F31" s="486">
        <f t="shared" ref="F31:F72" si="13">+D31-E31</f>
        <v>274171.66509435431</v>
      </c>
      <c r="G31" s="487">
        <f t="shared" ref="G31:G72" si="14">+I$12*F31+E31</f>
        <v>45721.623631175251</v>
      </c>
      <c r="H31" s="456">
        <f t="shared" ref="H31:H72" si="15">+I$13*F31+E31</f>
        <v>45721.623631175251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2021</v>
      </c>
      <c r="D32" s="486">
        <f>IF(F31+SUM(E$17:E31)=D$10,F31,D$10-SUM(E$17:E31))</f>
        <v>274171.66509435431</v>
      </c>
      <c r="E32" s="485">
        <f>IF(+I14&lt;F31,I14,D32)</f>
        <v>8616.4888888888891</v>
      </c>
      <c r="F32" s="486">
        <f t="shared" si="13"/>
        <v>265555.1762054654</v>
      </c>
      <c r="G32" s="487">
        <f t="shared" si="14"/>
        <v>44555.507573494353</v>
      </c>
      <c r="H32" s="456">
        <f t="shared" si="15"/>
        <v>44555.507573494353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2022</v>
      </c>
      <c r="D33" s="486">
        <f>IF(F32+SUM(E$17:E32)=D$10,F32,D$10-SUM(E$17:E32))</f>
        <v>265555.1762054654</v>
      </c>
      <c r="E33" s="485">
        <f>IF(+I14&lt;F32,I14,D33)</f>
        <v>8616.4888888888891</v>
      </c>
      <c r="F33" s="486">
        <f t="shared" si="13"/>
        <v>256938.68731657651</v>
      </c>
      <c r="G33" s="487">
        <f t="shared" si="14"/>
        <v>43389.391515813455</v>
      </c>
      <c r="H33" s="456">
        <f t="shared" si="15"/>
        <v>43389.391515813455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2023</v>
      </c>
      <c r="D34" s="486">
        <f>IF(F33+SUM(E$17:E33)=D$10,F33,D$10-SUM(E$17:E33))</f>
        <v>256938.68731657651</v>
      </c>
      <c r="E34" s="485">
        <f>IF(+I14&lt;F33,I14,D34)</f>
        <v>8616.4888888888891</v>
      </c>
      <c r="F34" s="486">
        <f t="shared" si="13"/>
        <v>248322.19842768763</v>
      </c>
      <c r="G34" s="487">
        <f t="shared" si="14"/>
        <v>42223.275458132564</v>
      </c>
      <c r="H34" s="456">
        <f t="shared" si="15"/>
        <v>42223.275458132564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2024</v>
      </c>
      <c r="D35" s="486">
        <f>IF(F34+SUM(E$17:E34)=D$10,F34,D$10-SUM(E$17:E34))</f>
        <v>248322.19842768763</v>
      </c>
      <c r="E35" s="485">
        <f>IF(+I14&lt;F34,I14,D35)</f>
        <v>8616.4888888888891</v>
      </c>
      <c r="F35" s="486">
        <f t="shared" si="13"/>
        <v>239705.70953879875</v>
      </c>
      <c r="G35" s="487">
        <f t="shared" si="14"/>
        <v>41057.159400451666</v>
      </c>
      <c r="H35" s="456">
        <f t="shared" si="15"/>
        <v>41057.159400451666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2025</v>
      </c>
      <c r="D36" s="486">
        <f>IF(F35+SUM(E$17:E35)=D$10,F35,D$10-SUM(E$17:E35))</f>
        <v>239705.70953879875</v>
      </c>
      <c r="E36" s="485">
        <f>IF(+I14&lt;F35,I14,D36)</f>
        <v>8616.4888888888891</v>
      </c>
      <c r="F36" s="486">
        <f t="shared" si="13"/>
        <v>231089.22064990987</v>
      </c>
      <c r="G36" s="487">
        <f t="shared" si="14"/>
        <v>39891.043342770776</v>
      </c>
      <c r="H36" s="456">
        <f t="shared" si="15"/>
        <v>39891.043342770776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2026</v>
      </c>
      <c r="D37" s="486">
        <f>IF(F36+SUM(E$17:E36)=D$10,F36,D$10-SUM(E$17:E36))</f>
        <v>231089.22064990987</v>
      </c>
      <c r="E37" s="485">
        <f>IF(+I14&lt;F36,I14,D37)</f>
        <v>8616.4888888888891</v>
      </c>
      <c r="F37" s="486">
        <f t="shared" si="13"/>
        <v>222472.73176102099</v>
      </c>
      <c r="G37" s="487">
        <f t="shared" si="14"/>
        <v>38724.927285089871</v>
      </c>
      <c r="H37" s="456">
        <f t="shared" si="15"/>
        <v>38724.927285089871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2027</v>
      </c>
      <c r="D38" s="486">
        <f>IF(F37+SUM(E$17:E37)=D$10,F37,D$10-SUM(E$17:E37))</f>
        <v>222472.73176102099</v>
      </c>
      <c r="E38" s="485">
        <f>IF(+I14&lt;F37,I14,D38)</f>
        <v>8616.4888888888891</v>
      </c>
      <c r="F38" s="486">
        <f t="shared" si="13"/>
        <v>213856.2428721321</v>
      </c>
      <c r="G38" s="487">
        <f t="shared" si="14"/>
        <v>37558.81122740898</v>
      </c>
      <c r="H38" s="456">
        <f t="shared" si="15"/>
        <v>37558.81122740898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2028</v>
      </c>
      <c r="D39" s="486">
        <f>IF(F38+SUM(E$17:E38)=D$10,F38,D$10-SUM(E$17:E38))</f>
        <v>213856.2428721321</v>
      </c>
      <c r="E39" s="485">
        <f>IF(+I14&lt;F38,I14,D39)</f>
        <v>8616.4888888888891</v>
      </c>
      <c r="F39" s="486">
        <f t="shared" si="13"/>
        <v>205239.75398324322</v>
      </c>
      <c r="G39" s="487">
        <f t="shared" si="14"/>
        <v>36392.695169728082</v>
      </c>
      <c r="H39" s="456">
        <f t="shared" si="15"/>
        <v>36392.695169728082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2029</v>
      </c>
      <c r="D40" s="486">
        <f>IF(F39+SUM(E$17:E39)=D$10,F39,D$10-SUM(E$17:E39))</f>
        <v>205239.75398324322</v>
      </c>
      <c r="E40" s="485">
        <f>IF(+I14&lt;F39,I14,D40)</f>
        <v>8616.4888888888891</v>
      </c>
      <c r="F40" s="486">
        <f t="shared" si="13"/>
        <v>196623.26509435434</v>
      </c>
      <c r="G40" s="487">
        <f t="shared" si="14"/>
        <v>35226.579112047184</v>
      </c>
      <c r="H40" s="456">
        <f t="shared" si="15"/>
        <v>35226.579112047184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2030</v>
      </c>
      <c r="D41" s="486">
        <f>IF(F40+SUM(E$17:E40)=D$10,F40,D$10-SUM(E$17:E40))</f>
        <v>196623.26509435434</v>
      </c>
      <c r="E41" s="485">
        <f>IF(+I14&lt;F40,I14,D41)</f>
        <v>8616.4888888888891</v>
      </c>
      <c r="F41" s="486">
        <f t="shared" si="13"/>
        <v>188006.77620546546</v>
      </c>
      <c r="G41" s="487">
        <f t="shared" si="14"/>
        <v>34060.463054366293</v>
      </c>
      <c r="H41" s="456">
        <f t="shared" si="15"/>
        <v>34060.463054366293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2031</v>
      </c>
      <c r="D42" s="486">
        <f>IF(F41+SUM(E$17:E41)=D$10,F41,D$10-SUM(E$17:E41))</f>
        <v>188006.77620546546</v>
      </c>
      <c r="E42" s="485">
        <f>IF(+I14&lt;F41,I14,D42)</f>
        <v>8616.4888888888891</v>
      </c>
      <c r="F42" s="486">
        <f t="shared" si="13"/>
        <v>179390.28731657658</v>
      </c>
      <c r="G42" s="487">
        <f t="shared" si="14"/>
        <v>32894.346996685395</v>
      </c>
      <c r="H42" s="456">
        <f t="shared" si="15"/>
        <v>32894.346996685395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2032</v>
      </c>
      <c r="D43" s="486">
        <f>IF(F42+SUM(E$17:E42)=D$10,F42,D$10-SUM(E$17:E42))</f>
        <v>179390.28731657658</v>
      </c>
      <c r="E43" s="485">
        <f>IF(+I14&lt;F42,I14,D43)</f>
        <v>8616.4888888888891</v>
      </c>
      <c r="F43" s="486">
        <f t="shared" si="13"/>
        <v>170773.7984276877</v>
      </c>
      <c r="G43" s="487">
        <f t="shared" si="14"/>
        <v>31728.230939004501</v>
      </c>
      <c r="H43" s="456">
        <f t="shared" si="15"/>
        <v>31728.230939004501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2033</v>
      </c>
      <c r="D44" s="486">
        <f>IF(F43+SUM(E$17:E43)=D$10,F43,D$10-SUM(E$17:E43))</f>
        <v>170773.7984276877</v>
      </c>
      <c r="E44" s="485">
        <f>IF(+I14&lt;F43,I14,D44)</f>
        <v>8616.4888888888891</v>
      </c>
      <c r="F44" s="486">
        <f t="shared" si="13"/>
        <v>162157.30953879881</v>
      </c>
      <c r="G44" s="487">
        <f t="shared" si="14"/>
        <v>30562.114881323607</v>
      </c>
      <c r="H44" s="456">
        <f t="shared" si="15"/>
        <v>30562.114881323607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2034</v>
      </c>
      <c r="D45" s="486">
        <f>IF(F44+SUM(E$17:E44)=D$10,F44,D$10-SUM(E$17:E44))</f>
        <v>162157.30953879881</v>
      </c>
      <c r="E45" s="485">
        <f>IF(+I14&lt;F44,I14,D45)</f>
        <v>8616.4888888888891</v>
      </c>
      <c r="F45" s="486">
        <f t="shared" si="13"/>
        <v>153540.82064990993</v>
      </c>
      <c r="G45" s="487">
        <f t="shared" si="14"/>
        <v>29395.998823642709</v>
      </c>
      <c r="H45" s="456">
        <f t="shared" si="15"/>
        <v>29395.998823642709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2035</v>
      </c>
      <c r="D46" s="486">
        <f>IF(F45+SUM(E$17:E45)=D$10,F45,D$10-SUM(E$17:E45))</f>
        <v>153540.82064990993</v>
      </c>
      <c r="E46" s="485">
        <f>IF(+I14&lt;F45,I14,D46)</f>
        <v>8616.4888888888891</v>
      </c>
      <c r="F46" s="486">
        <f t="shared" si="13"/>
        <v>144924.33176102105</v>
      </c>
      <c r="G46" s="487">
        <f t="shared" si="14"/>
        <v>28229.882765961815</v>
      </c>
      <c r="H46" s="456">
        <f t="shared" si="15"/>
        <v>28229.882765961815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2036</v>
      </c>
      <c r="D47" s="486">
        <f>IF(F46+SUM(E$17:E46)=D$10,F46,D$10-SUM(E$17:E46))</f>
        <v>144924.33176102105</v>
      </c>
      <c r="E47" s="485">
        <f>IF(+I14&lt;F46,I14,D47)</f>
        <v>8616.4888888888891</v>
      </c>
      <c r="F47" s="486">
        <f t="shared" si="13"/>
        <v>136307.84287213217</v>
      </c>
      <c r="G47" s="487">
        <f t="shared" si="14"/>
        <v>27063.766708280917</v>
      </c>
      <c r="H47" s="456">
        <f t="shared" si="15"/>
        <v>27063.766708280917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2037</v>
      </c>
      <c r="D48" s="486">
        <f>IF(F47+SUM(E$17:E47)=D$10,F47,D$10-SUM(E$17:E47))</f>
        <v>136307.84287213217</v>
      </c>
      <c r="E48" s="485">
        <f>IF(+I14&lt;F47,I14,D48)</f>
        <v>8616.4888888888891</v>
      </c>
      <c r="F48" s="486">
        <f t="shared" si="13"/>
        <v>127691.35398324329</v>
      </c>
      <c r="G48" s="487">
        <f t="shared" si="14"/>
        <v>25897.650650600022</v>
      </c>
      <c r="H48" s="456">
        <f t="shared" si="15"/>
        <v>25897.650650600022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2038</v>
      </c>
      <c r="D49" s="486">
        <f>IF(F48+SUM(E$17:E48)=D$10,F48,D$10-SUM(E$17:E48))</f>
        <v>127691.35398324329</v>
      </c>
      <c r="E49" s="485">
        <f>IF(+I14&lt;F48,I14,D49)</f>
        <v>8616.4888888888891</v>
      </c>
      <c r="F49" s="486">
        <f t="shared" si="13"/>
        <v>119074.86509435441</v>
      </c>
      <c r="G49" s="487">
        <f t="shared" si="14"/>
        <v>24731.534592919124</v>
      </c>
      <c r="H49" s="456">
        <f t="shared" si="15"/>
        <v>24731.534592919124</v>
      </c>
      <c r="I49" s="476">
        <f t="shared" ref="I49:I72" si="16">H49-G49</f>
        <v>0</v>
      </c>
      <c r="J49" s="476"/>
      <c r="K49" s="488"/>
      <c r="L49" s="479">
        <f t="shared" ref="L49:L72" si="17">IF(K49&lt;&gt;0,+G49-K49,0)</f>
        <v>0</v>
      </c>
      <c r="M49" s="488"/>
      <c r="N49" s="479">
        <f t="shared" ref="N49:N72" si="18">IF(M49&lt;&gt;0,+H49-M49,0)</f>
        <v>0</v>
      </c>
      <c r="O49" s="479">
        <f t="shared" ref="O49:O72" si="19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2039</v>
      </c>
      <c r="D50" s="486">
        <f>IF(F49+SUM(E$17:E49)=D$10,F49,D$10-SUM(E$17:E49))</f>
        <v>119074.86509435441</v>
      </c>
      <c r="E50" s="485">
        <f>IF(+I14&lt;F49,I14,D50)</f>
        <v>8616.4888888888891</v>
      </c>
      <c r="F50" s="486">
        <f t="shared" si="13"/>
        <v>110458.37620546552</v>
      </c>
      <c r="G50" s="487">
        <f t="shared" si="14"/>
        <v>23565.418535238234</v>
      </c>
      <c r="H50" s="456">
        <f t="shared" si="15"/>
        <v>23565.418535238234</v>
      </c>
      <c r="I50" s="476">
        <f t="shared" si="16"/>
        <v>0</v>
      </c>
      <c r="J50" s="476"/>
      <c r="K50" s="488"/>
      <c r="L50" s="479">
        <f t="shared" si="17"/>
        <v>0</v>
      </c>
      <c r="M50" s="488"/>
      <c r="N50" s="479">
        <f t="shared" si="18"/>
        <v>0</v>
      </c>
      <c r="O50" s="479">
        <f t="shared" si="19"/>
        <v>0</v>
      </c>
      <c r="P50" s="243"/>
    </row>
    <row r="51" spans="2:16" ht="12.5">
      <c r="B51" s="160" t="str">
        <f t="shared" si="6"/>
        <v/>
      </c>
      <c r="C51" s="473">
        <f>IF(D11="","-",+C50+1)</f>
        <v>2040</v>
      </c>
      <c r="D51" s="486">
        <f>IF(F50+SUM(E$17:E50)=D$10,F50,D$10-SUM(E$17:E50))</f>
        <v>110458.37620546552</v>
      </c>
      <c r="E51" s="485">
        <f>IF(+I14&lt;F50,I14,D51)</f>
        <v>8616.4888888888891</v>
      </c>
      <c r="F51" s="486">
        <f t="shared" si="13"/>
        <v>101841.88731657664</v>
      </c>
      <c r="G51" s="487">
        <f t="shared" si="14"/>
        <v>22399.302477557336</v>
      </c>
      <c r="H51" s="456">
        <f t="shared" si="15"/>
        <v>22399.302477557336</v>
      </c>
      <c r="I51" s="476">
        <f t="shared" si="16"/>
        <v>0</v>
      </c>
      <c r="J51" s="476"/>
      <c r="K51" s="488"/>
      <c r="L51" s="479">
        <f t="shared" si="17"/>
        <v>0</v>
      </c>
      <c r="M51" s="488"/>
      <c r="N51" s="479">
        <f t="shared" si="18"/>
        <v>0</v>
      </c>
      <c r="O51" s="479">
        <f t="shared" si="19"/>
        <v>0</v>
      </c>
      <c r="P51" s="243"/>
    </row>
    <row r="52" spans="2:16" ht="12.5">
      <c r="B52" s="160" t="str">
        <f t="shared" si="6"/>
        <v/>
      </c>
      <c r="C52" s="473">
        <f>IF(D11="","-",+C51+1)</f>
        <v>2041</v>
      </c>
      <c r="D52" s="486">
        <f>IF(F51+SUM(E$17:E51)=D$10,F51,D$10-SUM(E$17:E51))</f>
        <v>101841.88731657664</v>
      </c>
      <c r="E52" s="485">
        <f>IF(+I14&lt;F51,I14,D52)</f>
        <v>8616.4888888888891</v>
      </c>
      <c r="F52" s="486">
        <f t="shared" si="13"/>
        <v>93225.39842768776</v>
      </c>
      <c r="G52" s="487">
        <f t="shared" si="14"/>
        <v>21233.186419876438</v>
      </c>
      <c r="H52" s="456">
        <f t="shared" si="15"/>
        <v>21233.186419876438</v>
      </c>
      <c r="I52" s="476">
        <f t="shared" si="16"/>
        <v>0</v>
      </c>
      <c r="J52" s="476"/>
      <c r="K52" s="488"/>
      <c r="L52" s="479">
        <f t="shared" si="17"/>
        <v>0</v>
      </c>
      <c r="M52" s="488"/>
      <c r="N52" s="479">
        <f t="shared" si="18"/>
        <v>0</v>
      </c>
      <c r="O52" s="479">
        <f t="shared" si="19"/>
        <v>0</v>
      </c>
      <c r="P52" s="243"/>
    </row>
    <row r="53" spans="2:16" ht="12.5">
      <c r="B53" s="160" t="str">
        <f t="shared" si="6"/>
        <v/>
      </c>
      <c r="C53" s="473">
        <f>IF(D11="","-",+C52+1)</f>
        <v>2042</v>
      </c>
      <c r="D53" s="486">
        <f>IF(F52+SUM(E$17:E52)=D$10,F52,D$10-SUM(E$17:E52))</f>
        <v>93225.39842768776</v>
      </c>
      <c r="E53" s="485">
        <f>IF(+I14&lt;F52,I14,D53)</f>
        <v>8616.4888888888891</v>
      </c>
      <c r="F53" s="486">
        <f t="shared" si="13"/>
        <v>84608.909538798878</v>
      </c>
      <c r="G53" s="487">
        <f t="shared" si="14"/>
        <v>20067.070362195544</v>
      </c>
      <c r="H53" s="456">
        <f t="shared" si="15"/>
        <v>20067.070362195544</v>
      </c>
      <c r="I53" s="476">
        <f t="shared" si="16"/>
        <v>0</v>
      </c>
      <c r="J53" s="476"/>
      <c r="K53" s="488"/>
      <c r="L53" s="479">
        <f t="shared" si="17"/>
        <v>0</v>
      </c>
      <c r="M53" s="488"/>
      <c r="N53" s="479">
        <f t="shared" si="18"/>
        <v>0</v>
      </c>
      <c r="O53" s="479">
        <f t="shared" si="19"/>
        <v>0</v>
      </c>
      <c r="P53" s="243"/>
    </row>
    <row r="54" spans="2:16" ht="12.5">
      <c r="B54" s="160" t="str">
        <f t="shared" si="6"/>
        <v/>
      </c>
      <c r="C54" s="473">
        <f>IF(D11="","-",+C53+1)</f>
        <v>2043</v>
      </c>
      <c r="D54" s="486">
        <f>IF(F53+SUM(E$17:E53)=D$10,F53,D$10-SUM(E$17:E53))</f>
        <v>84608.909538798878</v>
      </c>
      <c r="E54" s="485">
        <f>IF(+I14&lt;F53,I14,D54)</f>
        <v>8616.4888888888891</v>
      </c>
      <c r="F54" s="486">
        <f t="shared" si="13"/>
        <v>75992.420649909996</v>
      </c>
      <c r="G54" s="487">
        <f t="shared" si="14"/>
        <v>18900.954304514649</v>
      </c>
      <c r="H54" s="456">
        <f t="shared" si="15"/>
        <v>18900.954304514649</v>
      </c>
      <c r="I54" s="476">
        <f t="shared" si="16"/>
        <v>0</v>
      </c>
      <c r="J54" s="476"/>
      <c r="K54" s="488"/>
      <c r="L54" s="479">
        <f t="shared" si="17"/>
        <v>0</v>
      </c>
      <c r="M54" s="488"/>
      <c r="N54" s="479">
        <f t="shared" si="18"/>
        <v>0</v>
      </c>
      <c r="O54" s="479">
        <f t="shared" si="19"/>
        <v>0</v>
      </c>
      <c r="P54" s="243"/>
    </row>
    <row r="55" spans="2:16" ht="12.5">
      <c r="B55" s="160" t="str">
        <f t="shared" si="6"/>
        <v/>
      </c>
      <c r="C55" s="473">
        <f>IF(D11="","-",+C54+1)</f>
        <v>2044</v>
      </c>
      <c r="D55" s="486">
        <f>IF(F54+SUM(E$17:E54)=D$10,F54,D$10-SUM(E$17:E54))</f>
        <v>75992.420649909996</v>
      </c>
      <c r="E55" s="485">
        <f>IF(+I14&lt;F54,I14,D55)</f>
        <v>8616.4888888888891</v>
      </c>
      <c r="F55" s="486">
        <f t="shared" si="13"/>
        <v>67375.931761021115</v>
      </c>
      <c r="G55" s="487">
        <f t="shared" si="14"/>
        <v>17734.838246833751</v>
      </c>
      <c r="H55" s="456">
        <f t="shared" si="15"/>
        <v>17734.838246833751</v>
      </c>
      <c r="I55" s="476">
        <f t="shared" si="16"/>
        <v>0</v>
      </c>
      <c r="J55" s="476"/>
      <c r="K55" s="488"/>
      <c r="L55" s="479">
        <f t="shared" si="17"/>
        <v>0</v>
      </c>
      <c r="M55" s="488"/>
      <c r="N55" s="479">
        <f t="shared" si="18"/>
        <v>0</v>
      </c>
      <c r="O55" s="479">
        <f t="shared" si="19"/>
        <v>0</v>
      </c>
      <c r="P55" s="243"/>
    </row>
    <row r="56" spans="2:16" ht="12.5">
      <c r="B56" s="160" t="str">
        <f t="shared" si="6"/>
        <v/>
      </c>
      <c r="C56" s="473">
        <f>IF(D11="","-",+C55+1)</f>
        <v>2045</v>
      </c>
      <c r="D56" s="486">
        <f>IF(F55+SUM(E$17:E55)=D$10,F55,D$10-SUM(E$17:E55))</f>
        <v>67375.931761021115</v>
      </c>
      <c r="E56" s="485">
        <f>IF(+I14&lt;F55,I14,D56)</f>
        <v>8616.4888888888891</v>
      </c>
      <c r="F56" s="486">
        <f t="shared" si="13"/>
        <v>58759.442872132226</v>
      </c>
      <c r="G56" s="487">
        <f t="shared" si="14"/>
        <v>16568.722189152857</v>
      </c>
      <c r="H56" s="456">
        <f t="shared" si="15"/>
        <v>16568.722189152857</v>
      </c>
      <c r="I56" s="476">
        <f t="shared" si="16"/>
        <v>0</v>
      </c>
      <c r="J56" s="476"/>
      <c r="K56" s="488"/>
      <c r="L56" s="479">
        <f t="shared" si="17"/>
        <v>0</v>
      </c>
      <c r="M56" s="488"/>
      <c r="N56" s="479">
        <f t="shared" si="18"/>
        <v>0</v>
      </c>
      <c r="O56" s="479">
        <f t="shared" si="19"/>
        <v>0</v>
      </c>
      <c r="P56" s="243"/>
    </row>
    <row r="57" spans="2:16" ht="12.5">
      <c r="B57" s="160" t="str">
        <f t="shared" si="6"/>
        <v/>
      </c>
      <c r="C57" s="473">
        <f>IF(D11="","-",+C56+1)</f>
        <v>2046</v>
      </c>
      <c r="D57" s="486">
        <f>IF(F56+SUM(E$17:E56)=D$10,F56,D$10-SUM(E$17:E56))</f>
        <v>58759.442872132226</v>
      </c>
      <c r="E57" s="485">
        <f>IF(+I14&lt;F56,I14,D57)</f>
        <v>8616.4888888888891</v>
      </c>
      <c r="F57" s="486">
        <f t="shared" si="13"/>
        <v>50142.953983243337</v>
      </c>
      <c r="G57" s="487">
        <f t="shared" si="14"/>
        <v>15402.606131471959</v>
      </c>
      <c r="H57" s="456">
        <f t="shared" si="15"/>
        <v>15402.606131471959</v>
      </c>
      <c r="I57" s="476">
        <f t="shared" si="16"/>
        <v>0</v>
      </c>
      <c r="J57" s="476"/>
      <c r="K57" s="488"/>
      <c r="L57" s="479">
        <f t="shared" si="17"/>
        <v>0</v>
      </c>
      <c r="M57" s="488"/>
      <c r="N57" s="479">
        <f t="shared" si="18"/>
        <v>0</v>
      </c>
      <c r="O57" s="479">
        <f t="shared" si="19"/>
        <v>0</v>
      </c>
      <c r="P57" s="243"/>
    </row>
    <row r="58" spans="2:16" ht="12.5">
      <c r="B58" s="160" t="str">
        <f t="shared" si="6"/>
        <v/>
      </c>
      <c r="C58" s="473">
        <f>IF(D11="","-",+C57+1)</f>
        <v>2047</v>
      </c>
      <c r="D58" s="486">
        <f>IF(F57+SUM(E$17:E57)=D$10,F57,D$10-SUM(E$17:E57))</f>
        <v>50142.953983243337</v>
      </c>
      <c r="E58" s="485">
        <f>IF(+I14&lt;F57,I14,D58)</f>
        <v>8616.4888888888891</v>
      </c>
      <c r="F58" s="486">
        <f t="shared" si="13"/>
        <v>41526.465094354448</v>
      </c>
      <c r="G58" s="487">
        <f t="shared" si="14"/>
        <v>14236.490073791063</v>
      </c>
      <c r="H58" s="456">
        <f t="shared" si="15"/>
        <v>14236.490073791063</v>
      </c>
      <c r="I58" s="476">
        <f t="shared" si="16"/>
        <v>0</v>
      </c>
      <c r="J58" s="476"/>
      <c r="K58" s="488"/>
      <c r="L58" s="479">
        <f t="shared" si="17"/>
        <v>0</v>
      </c>
      <c r="M58" s="488"/>
      <c r="N58" s="479">
        <f t="shared" si="18"/>
        <v>0</v>
      </c>
      <c r="O58" s="479">
        <f t="shared" si="19"/>
        <v>0</v>
      </c>
      <c r="P58" s="243"/>
    </row>
    <row r="59" spans="2:16" ht="12.5">
      <c r="B59" s="160" t="str">
        <f t="shared" si="6"/>
        <v/>
      </c>
      <c r="C59" s="473">
        <f>IF(D11="","-",+C58+1)</f>
        <v>2048</v>
      </c>
      <c r="D59" s="486">
        <f>IF(F58+SUM(E$17:E58)=D$10,F58,D$10-SUM(E$17:E58))</f>
        <v>41526.465094354448</v>
      </c>
      <c r="E59" s="485">
        <f>IF(+I14&lt;F58,I14,D59)</f>
        <v>8616.4888888888891</v>
      </c>
      <c r="F59" s="486">
        <f t="shared" si="13"/>
        <v>32909.976205465558</v>
      </c>
      <c r="G59" s="487">
        <f t="shared" si="14"/>
        <v>13070.374016110167</v>
      </c>
      <c r="H59" s="456">
        <f t="shared" si="15"/>
        <v>13070.374016110167</v>
      </c>
      <c r="I59" s="476">
        <f t="shared" si="16"/>
        <v>0</v>
      </c>
      <c r="J59" s="476"/>
      <c r="K59" s="488"/>
      <c r="L59" s="479">
        <f t="shared" si="17"/>
        <v>0</v>
      </c>
      <c r="M59" s="488"/>
      <c r="N59" s="479">
        <f t="shared" si="18"/>
        <v>0</v>
      </c>
      <c r="O59" s="479">
        <f t="shared" si="19"/>
        <v>0</v>
      </c>
      <c r="P59" s="243"/>
    </row>
    <row r="60" spans="2:16" ht="12.5">
      <c r="B60" s="160" t="str">
        <f t="shared" si="6"/>
        <v/>
      </c>
      <c r="C60" s="473">
        <f>IF(D11="","-",+C59+1)</f>
        <v>2049</v>
      </c>
      <c r="D60" s="486">
        <f>IF(F59+SUM(E$17:E59)=D$10,F59,D$10-SUM(E$17:E59))</f>
        <v>32909.976205465558</v>
      </c>
      <c r="E60" s="485">
        <f>IF(+I14&lt;F59,I14,D60)</f>
        <v>8616.4888888888891</v>
      </c>
      <c r="F60" s="486">
        <f t="shared" si="13"/>
        <v>24293.487316576669</v>
      </c>
      <c r="G60" s="487">
        <f t="shared" si="14"/>
        <v>11904.257958429269</v>
      </c>
      <c r="H60" s="456">
        <f t="shared" si="15"/>
        <v>11904.257958429269</v>
      </c>
      <c r="I60" s="476">
        <f t="shared" si="16"/>
        <v>0</v>
      </c>
      <c r="J60" s="476"/>
      <c r="K60" s="488"/>
      <c r="L60" s="479">
        <f t="shared" si="17"/>
        <v>0</v>
      </c>
      <c r="M60" s="488"/>
      <c r="N60" s="479">
        <f t="shared" si="18"/>
        <v>0</v>
      </c>
      <c r="O60" s="479">
        <f t="shared" si="19"/>
        <v>0</v>
      </c>
      <c r="P60" s="243"/>
    </row>
    <row r="61" spans="2:16" ht="12.5">
      <c r="B61" s="160" t="str">
        <f t="shared" si="6"/>
        <v/>
      </c>
      <c r="C61" s="473">
        <f>IF(D11="","-",+C60+1)</f>
        <v>2050</v>
      </c>
      <c r="D61" s="486">
        <f>IF(F60+SUM(E$17:E60)=D$10,F60,D$10-SUM(E$17:E60))</f>
        <v>24293.487316576669</v>
      </c>
      <c r="E61" s="485">
        <f>IF(+I14&lt;F60,I14,D61)</f>
        <v>8616.4888888888891</v>
      </c>
      <c r="F61" s="486">
        <f t="shared" si="13"/>
        <v>15676.99842768778</v>
      </c>
      <c r="G61" s="489">
        <f t="shared" si="14"/>
        <v>10738.141900748373</v>
      </c>
      <c r="H61" s="456">
        <f t="shared" si="15"/>
        <v>10738.141900748373</v>
      </c>
      <c r="I61" s="476">
        <f t="shared" si="16"/>
        <v>0</v>
      </c>
      <c r="J61" s="476"/>
      <c r="K61" s="488"/>
      <c r="L61" s="479">
        <f t="shared" si="17"/>
        <v>0</v>
      </c>
      <c r="M61" s="488"/>
      <c r="N61" s="479">
        <f t="shared" si="18"/>
        <v>0</v>
      </c>
      <c r="O61" s="479">
        <f t="shared" si="19"/>
        <v>0</v>
      </c>
      <c r="P61" s="243"/>
    </row>
    <row r="62" spans="2:16" ht="12.5">
      <c r="B62" s="160" t="str">
        <f t="shared" si="6"/>
        <v/>
      </c>
      <c r="C62" s="473">
        <f>IF(D11="","-",+C61+1)</f>
        <v>2051</v>
      </c>
      <c r="D62" s="486">
        <f>IF(F61+SUM(E$17:E61)=D$10,F61,D$10-SUM(E$17:E61))</f>
        <v>15676.99842768778</v>
      </c>
      <c r="E62" s="485">
        <f>IF(+I14&lt;F61,I14,D62)</f>
        <v>8616.4888888888891</v>
      </c>
      <c r="F62" s="486">
        <f t="shared" si="13"/>
        <v>7060.5095387988913</v>
      </c>
      <c r="G62" s="489">
        <f t="shared" si="14"/>
        <v>9572.0258430674767</v>
      </c>
      <c r="H62" s="456">
        <f t="shared" si="15"/>
        <v>9572.0258430674767</v>
      </c>
      <c r="I62" s="476">
        <f t="shared" si="16"/>
        <v>0</v>
      </c>
      <c r="J62" s="476"/>
      <c r="K62" s="488"/>
      <c r="L62" s="479">
        <f t="shared" si="17"/>
        <v>0</v>
      </c>
      <c r="M62" s="488"/>
      <c r="N62" s="479">
        <f t="shared" si="18"/>
        <v>0</v>
      </c>
      <c r="O62" s="479">
        <f t="shared" si="19"/>
        <v>0</v>
      </c>
      <c r="P62" s="243"/>
    </row>
    <row r="63" spans="2:16" ht="12.5">
      <c r="B63" s="160" t="str">
        <f t="shared" si="6"/>
        <v/>
      </c>
      <c r="C63" s="473">
        <f>IF(D11="","-",+C62+1)</f>
        <v>2052</v>
      </c>
      <c r="D63" s="486">
        <f>IF(F62+SUM(E$17:E62)=D$10,F62,D$10-SUM(E$17:E62))</f>
        <v>7060.5095387988913</v>
      </c>
      <c r="E63" s="485">
        <f>IF(+I14&lt;F62,I14,D63)</f>
        <v>7060.5095387988913</v>
      </c>
      <c r="F63" s="486">
        <f t="shared" si="13"/>
        <v>0</v>
      </c>
      <c r="G63" s="489">
        <f t="shared" si="14"/>
        <v>7060.5095387988913</v>
      </c>
      <c r="H63" s="456">
        <f t="shared" si="15"/>
        <v>7060.5095387988913</v>
      </c>
      <c r="I63" s="476">
        <f t="shared" si="16"/>
        <v>0</v>
      </c>
      <c r="J63" s="476"/>
      <c r="K63" s="488"/>
      <c r="L63" s="479">
        <f t="shared" si="17"/>
        <v>0</v>
      </c>
      <c r="M63" s="488"/>
      <c r="N63" s="479">
        <f t="shared" si="18"/>
        <v>0</v>
      </c>
      <c r="O63" s="479">
        <f t="shared" si="19"/>
        <v>0</v>
      </c>
      <c r="P63" s="243"/>
    </row>
    <row r="64" spans="2:16" ht="12.5">
      <c r="B64" s="160" t="str">
        <f t="shared" si="6"/>
        <v/>
      </c>
      <c r="C64" s="473">
        <f>IF(D11="","-",+C63+1)</f>
        <v>2053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3"/>
        <v>0</v>
      </c>
      <c r="G64" s="489">
        <f t="shared" si="14"/>
        <v>0</v>
      </c>
      <c r="H64" s="456">
        <f t="shared" si="15"/>
        <v>0</v>
      </c>
      <c r="I64" s="476">
        <f t="shared" si="16"/>
        <v>0</v>
      </c>
      <c r="J64" s="476"/>
      <c r="K64" s="488"/>
      <c r="L64" s="479">
        <f t="shared" si="17"/>
        <v>0</v>
      </c>
      <c r="M64" s="488"/>
      <c r="N64" s="479">
        <f t="shared" si="18"/>
        <v>0</v>
      </c>
      <c r="O64" s="479">
        <f t="shared" si="19"/>
        <v>0</v>
      </c>
      <c r="P64" s="243"/>
    </row>
    <row r="65" spans="2:16" ht="12.5">
      <c r="B65" s="160" t="str">
        <f t="shared" si="6"/>
        <v/>
      </c>
      <c r="C65" s="473">
        <f>IF(D11="","-",+C64+1)</f>
        <v>2054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3"/>
        <v>0</v>
      </c>
      <c r="G65" s="489">
        <f t="shared" si="14"/>
        <v>0</v>
      </c>
      <c r="H65" s="456">
        <f t="shared" si="15"/>
        <v>0</v>
      </c>
      <c r="I65" s="476">
        <f t="shared" si="16"/>
        <v>0</v>
      </c>
      <c r="J65" s="476"/>
      <c r="K65" s="488"/>
      <c r="L65" s="479">
        <f t="shared" si="17"/>
        <v>0</v>
      </c>
      <c r="M65" s="488"/>
      <c r="N65" s="479">
        <f t="shared" si="18"/>
        <v>0</v>
      </c>
      <c r="O65" s="479">
        <f t="shared" si="19"/>
        <v>0</v>
      </c>
      <c r="P65" s="243"/>
    </row>
    <row r="66" spans="2:16" ht="12.5">
      <c r="B66" s="160" t="str">
        <f t="shared" si="6"/>
        <v/>
      </c>
      <c r="C66" s="473">
        <f>IF(D11="","-",+C65+1)</f>
        <v>2055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3"/>
        <v>0</v>
      </c>
      <c r="G66" s="489">
        <f t="shared" si="14"/>
        <v>0</v>
      </c>
      <c r="H66" s="456">
        <f t="shared" si="15"/>
        <v>0</v>
      </c>
      <c r="I66" s="476">
        <f t="shared" si="16"/>
        <v>0</v>
      </c>
      <c r="J66" s="476"/>
      <c r="K66" s="488"/>
      <c r="L66" s="479">
        <f t="shared" si="17"/>
        <v>0</v>
      </c>
      <c r="M66" s="488"/>
      <c r="N66" s="479">
        <f t="shared" si="18"/>
        <v>0</v>
      </c>
      <c r="O66" s="479">
        <f t="shared" si="19"/>
        <v>0</v>
      </c>
      <c r="P66" s="243"/>
    </row>
    <row r="67" spans="2:16" ht="12.5">
      <c r="B67" s="160" t="str">
        <f t="shared" si="6"/>
        <v/>
      </c>
      <c r="C67" s="473">
        <f>IF(D11="","-",+C66+1)</f>
        <v>2056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3"/>
        <v>0</v>
      </c>
      <c r="G67" s="489">
        <f t="shared" si="14"/>
        <v>0</v>
      </c>
      <c r="H67" s="456">
        <f t="shared" si="15"/>
        <v>0</v>
      </c>
      <c r="I67" s="476">
        <f t="shared" si="16"/>
        <v>0</v>
      </c>
      <c r="J67" s="476"/>
      <c r="K67" s="488"/>
      <c r="L67" s="479">
        <f t="shared" si="17"/>
        <v>0</v>
      </c>
      <c r="M67" s="488"/>
      <c r="N67" s="479">
        <f t="shared" si="18"/>
        <v>0</v>
      </c>
      <c r="O67" s="479">
        <f t="shared" si="19"/>
        <v>0</v>
      </c>
      <c r="P67" s="243"/>
    </row>
    <row r="68" spans="2:16" ht="12.5">
      <c r="B68" s="160" t="str">
        <f t="shared" si="6"/>
        <v/>
      </c>
      <c r="C68" s="473">
        <f>IF(D11="","-",+C67+1)</f>
        <v>2057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3"/>
        <v>0</v>
      </c>
      <c r="G68" s="489">
        <f t="shared" si="14"/>
        <v>0</v>
      </c>
      <c r="H68" s="456">
        <f t="shared" si="15"/>
        <v>0</v>
      </c>
      <c r="I68" s="476">
        <f t="shared" si="16"/>
        <v>0</v>
      </c>
      <c r="J68" s="476"/>
      <c r="K68" s="488"/>
      <c r="L68" s="479">
        <f t="shared" si="17"/>
        <v>0</v>
      </c>
      <c r="M68" s="488"/>
      <c r="N68" s="479">
        <f t="shared" si="18"/>
        <v>0</v>
      </c>
      <c r="O68" s="479">
        <f t="shared" si="19"/>
        <v>0</v>
      </c>
      <c r="P68" s="243"/>
    </row>
    <row r="69" spans="2:16" ht="12.5">
      <c r="B69" s="160" t="str">
        <f t="shared" si="6"/>
        <v/>
      </c>
      <c r="C69" s="473">
        <f>IF(D11="","-",+C68+1)</f>
        <v>2058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3"/>
        <v>0</v>
      </c>
      <c r="G69" s="489">
        <f t="shared" si="14"/>
        <v>0</v>
      </c>
      <c r="H69" s="456">
        <f t="shared" si="15"/>
        <v>0</v>
      </c>
      <c r="I69" s="476">
        <f t="shared" si="16"/>
        <v>0</v>
      </c>
      <c r="J69" s="476"/>
      <c r="K69" s="488"/>
      <c r="L69" s="479">
        <f t="shared" si="17"/>
        <v>0</v>
      </c>
      <c r="M69" s="488"/>
      <c r="N69" s="479">
        <f t="shared" si="18"/>
        <v>0</v>
      </c>
      <c r="O69" s="479">
        <f t="shared" si="19"/>
        <v>0</v>
      </c>
      <c r="P69" s="243"/>
    </row>
    <row r="70" spans="2:16" ht="12.5">
      <c r="B70" s="160" t="str">
        <f t="shared" si="6"/>
        <v/>
      </c>
      <c r="C70" s="473">
        <f>IF(D11="","-",+C69+1)</f>
        <v>2059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3"/>
        <v>0</v>
      </c>
      <c r="G70" s="489">
        <f t="shared" si="14"/>
        <v>0</v>
      </c>
      <c r="H70" s="456">
        <f t="shared" si="15"/>
        <v>0</v>
      </c>
      <c r="I70" s="476">
        <f t="shared" si="16"/>
        <v>0</v>
      </c>
      <c r="J70" s="476"/>
      <c r="K70" s="488"/>
      <c r="L70" s="479">
        <f t="shared" si="17"/>
        <v>0</v>
      </c>
      <c r="M70" s="488"/>
      <c r="N70" s="479">
        <f t="shared" si="18"/>
        <v>0</v>
      </c>
      <c r="O70" s="479">
        <f t="shared" si="19"/>
        <v>0</v>
      </c>
      <c r="P70" s="243"/>
    </row>
    <row r="71" spans="2:16" ht="12.5">
      <c r="B71" s="160" t="str">
        <f t="shared" si="6"/>
        <v/>
      </c>
      <c r="C71" s="473">
        <f>IF(D11="","-",+C70+1)</f>
        <v>2060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3"/>
        <v>0</v>
      </c>
      <c r="G71" s="489">
        <f t="shared" si="14"/>
        <v>0</v>
      </c>
      <c r="H71" s="456">
        <f t="shared" si="15"/>
        <v>0</v>
      </c>
      <c r="I71" s="476">
        <f t="shared" si="16"/>
        <v>0</v>
      </c>
      <c r="J71" s="476"/>
      <c r="K71" s="488"/>
      <c r="L71" s="479">
        <f t="shared" si="17"/>
        <v>0</v>
      </c>
      <c r="M71" s="488"/>
      <c r="N71" s="479">
        <f t="shared" si="18"/>
        <v>0</v>
      </c>
      <c r="O71" s="479">
        <f t="shared" si="19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2061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3"/>
        <v>0</v>
      </c>
      <c r="G72" s="493">
        <f t="shared" si="14"/>
        <v>0</v>
      </c>
      <c r="H72" s="436">
        <f t="shared" si="15"/>
        <v>0</v>
      </c>
      <c r="I72" s="494">
        <f t="shared" si="16"/>
        <v>0</v>
      </c>
      <c r="J72" s="476"/>
      <c r="K72" s="495"/>
      <c r="L72" s="496">
        <f t="shared" si="17"/>
        <v>0</v>
      </c>
      <c r="M72" s="495"/>
      <c r="N72" s="496">
        <f t="shared" si="18"/>
        <v>0</v>
      </c>
      <c r="O72" s="496">
        <f t="shared" si="19"/>
        <v>0</v>
      </c>
      <c r="P72" s="243"/>
    </row>
    <row r="73" spans="2:16" ht="12.5">
      <c r="C73" s="347" t="s">
        <v>77</v>
      </c>
      <c r="D73" s="348"/>
      <c r="E73" s="348">
        <f>SUM(E17:E72)</f>
        <v>387742.00000000023</v>
      </c>
      <c r="F73" s="348"/>
      <c r="G73" s="348">
        <f>SUM(G17:G72)</f>
        <v>1590075.8446276167</v>
      </c>
      <c r="H73" s="348">
        <f>SUM(H17:H72)</f>
        <v>1590075.8446276167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5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41809.897213779383</v>
      </c>
      <c r="N87" s="509">
        <f>IF(J92&lt;D11,0,VLOOKUP(J92,C17:O72,11))</f>
        <v>41809.897213779383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39010.150115878176</v>
      </c>
      <c r="N88" s="513">
        <f>IF(J92&lt;D11,0,VLOOKUP(J92,C99:P154,7))</f>
        <v>39010.150115878176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Catoosa 138 kV Device (Cap. Bank)</v>
      </c>
      <c r="E89" s="233"/>
      <c r="F89" s="233"/>
      <c r="G89" s="233">
        <v>387742</v>
      </c>
      <c r="H89" s="233"/>
      <c r="I89" s="242"/>
      <c r="J89" s="242"/>
      <c r="K89" s="516"/>
      <c r="L89" s="517" t="s">
        <v>156</v>
      </c>
      <c r="M89" s="518">
        <f>+M88-M87</f>
        <v>-2799.7470979012069</v>
      </c>
      <c r="N89" s="518">
        <f>+N88-N87</f>
        <v>-2799.7470979012069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TP2005006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387742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2006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5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9457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101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2006</v>
      </c>
      <c r="D99" s="474">
        <f>IF(D93=C99,0,D92)</f>
        <v>0</v>
      </c>
      <c r="E99" s="481">
        <v>3801</v>
      </c>
      <c r="F99" s="480">
        <v>383941</v>
      </c>
      <c r="G99" s="538">
        <v>385841</v>
      </c>
      <c r="H99" s="539">
        <v>0</v>
      </c>
      <c r="I99" s="540">
        <v>0</v>
      </c>
      <c r="J99" s="479">
        <f t="shared" ref="J99:J130" si="20">+I99-H99</f>
        <v>0</v>
      </c>
      <c r="K99" s="479"/>
      <c r="L99" s="555">
        <v>0</v>
      </c>
      <c r="M99" s="563">
        <f>IF(L99&lt;&gt;0,+H99-L99,0)</f>
        <v>0</v>
      </c>
      <c r="N99" s="555">
        <v>0</v>
      </c>
      <c r="O99" s="478">
        <f>IF(N99&lt;&gt;0,+I99-N99,0)</f>
        <v>0</v>
      </c>
      <c r="P99" s="478">
        <f t="shared" ref="P99:P130" si="21">+O99-M99</f>
        <v>0</v>
      </c>
    </row>
    <row r="100" spans="1:16" ht="12.5">
      <c r="B100" s="160" t="str">
        <f t="shared" ref="B100:B154" si="22">IF(D100=F99,"","IU")</f>
        <v/>
      </c>
      <c r="C100" s="473">
        <f>IF(D93="","-",+C99+1)</f>
        <v>2007</v>
      </c>
      <c r="D100" s="474">
        <v>383941</v>
      </c>
      <c r="E100" s="562">
        <v>7603</v>
      </c>
      <c r="F100" s="480">
        <v>376338</v>
      </c>
      <c r="G100" s="480">
        <v>380140</v>
      </c>
      <c r="H100" s="481">
        <v>66528</v>
      </c>
      <c r="I100" s="482">
        <v>66528</v>
      </c>
      <c r="J100" s="479">
        <f t="shared" si="20"/>
        <v>0</v>
      </c>
      <c r="K100" s="479"/>
      <c r="L100" s="477">
        <v>0</v>
      </c>
      <c r="M100" s="551">
        <f>IF(L100&lt;&gt;0,+H100-L100,0)</f>
        <v>0</v>
      </c>
      <c r="N100" s="477">
        <v>0</v>
      </c>
      <c r="O100" s="479">
        <f>IF(N100&lt;&gt;0,+I100-N100,0)</f>
        <v>0</v>
      </c>
      <c r="P100" s="479">
        <f t="shared" si="21"/>
        <v>0</v>
      </c>
    </row>
    <row r="101" spans="1:16" ht="12.5">
      <c r="B101" s="160"/>
      <c r="C101" s="473">
        <f>IF(D93="","-",+C100+1)</f>
        <v>2008</v>
      </c>
      <c r="D101" s="474">
        <v>376159</v>
      </c>
      <c r="E101" s="562">
        <v>7316</v>
      </c>
      <c r="F101" s="480">
        <v>368843</v>
      </c>
      <c r="G101" s="480">
        <v>372501</v>
      </c>
      <c r="H101" s="481">
        <v>66486</v>
      </c>
      <c r="I101" s="482">
        <v>66486</v>
      </c>
      <c r="J101" s="479">
        <f t="shared" si="20"/>
        <v>0</v>
      </c>
      <c r="K101" s="479"/>
      <c r="L101" s="477">
        <v>66486</v>
      </c>
      <c r="M101" s="479">
        <f>IF(L101&lt;&gt;"",+H101-L101,0)</f>
        <v>0</v>
      </c>
      <c r="N101" s="477">
        <v>66486</v>
      </c>
      <c r="O101" s="479">
        <f>IF(N101&lt;&gt;"",+I101-N101,0)</f>
        <v>0</v>
      </c>
      <c r="P101" s="479">
        <f t="shared" si="21"/>
        <v>0</v>
      </c>
    </row>
    <row r="102" spans="1:16" ht="12.5">
      <c r="B102" s="160"/>
      <c r="C102" s="473">
        <f>IF(D93="","-",+C101+1)</f>
        <v>2009</v>
      </c>
      <c r="D102" s="474">
        <v>369022</v>
      </c>
      <c r="E102" s="481">
        <v>6924</v>
      </c>
      <c r="F102" s="480">
        <v>362098</v>
      </c>
      <c r="G102" s="480">
        <v>365560</v>
      </c>
      <c r="H102" s="481">
        <v>60371.899487403767</v>
      </c>
      <c r="I102" s="482">
        <v>60371.899487403767</v>
      </c>
      <c r="J102" s="479">
        <f t="shared" si="20"/>
        <v>0</v>
      </c>
      <c r="K102" s="479"/>
      <c r="L102" s="477">
        <f t="shared" ref="L102:L107" si="23">H102</f>
        <v>60371.899487403767</v>
      </c>
      <c r="M102" s="551">
        <f t="shared" ref="M102:M133" si="24">IF(L102&lt;&gt;0,+H102-L102,0)</f>
        <v>0</v>
      </c>
      <c r="N102" s="477">
        <f t="shared" ref="N102:N107" si="25">I102</f>
        <v>60371.899487403767</v>
      </c>
      <c r="O102" s="479">
        <f t="shared" ref="O102:O133" si="26">IF(N102&lt;&gt;0,+I102-N102,0)</f>
        <v>0</v>
      </c>
      <c r="P102" s="479">
        <f t="shared" si="21"/>
        <v>0</v>
      </c>
    </row>
    <row r="103" spans="1:16" ht="12.5">
      <c r="B103" s="160" t="str">
        <f t="shared" si="22"/>
        <v/>
      </c>
      <c r="C103" s="473">
        <f>IF(D93="","-",+C102+1)</f>
        <v>2010</v>
      </c>
      <c r="D103" s="474">
        <v>362098</v>
      </c>
      <c r="E103" s="481">
        <v>7603</v>
      </c>
      <c r="F103" s="480">
        <v>354495</v>
      </c>
      <c r="G103" s="480">
        <v>358296.5</v>
      </c>
      <c r="H103" s="481">
        <v>65222.531099646738</v>
      </c>
      <c r="I103" s="482">
        <v>65222.531099646738</v>
      </c>
      <c r="J103" s="479">
        <f t="shared" si="20"/>
        <v>0</v>
      </c>
      <c r="K103" s="479"/>
      <c r="L103" s="541">
        <f t="shared" si="23"/>
        <v>65222.531099646738</v>
      </c>
      <c r="M103" s="542">
        <f t="shared" si="24"/>
        <v>0</v>
      </c>
      <c r="N103" s="541">
        <f t="shared" si="25"/>
        <v>65222.531099646738</v>
      </c>
      <c r="O103" s="479">
        <f t="shared" si="26"/>
        <v>0</v>
      </c>
      <c r="P103" s="479">
        <f t="shared" si="21"/>
        <v>0</v>
      </c>
    </row>
    <row r="104" spans="1:16" ht="12.5">
      <c r="B104" s="160" t="str">
        <f t="shared" si="22"/>
        <v/>
      </c>
      <c r="C104" s="473">
        <f>IF(D93="","-",+C103+1)</f>
        <v>2011</v>
      </c>
      <c r="D104" s="474">
        <v>354495</v>
      </c>
      <c r="E104" s="481">
        <v>7457</v>
      </c>
      <c r="F104" s="480">
        <v>347038</v>
      </c>
      <c r="G104" s="480">
        <v>350766.5</v>
      </c>
      <c r="H104" s="481">
        <v>56498.870276795831</v>
      </c>
      <c r="I104" s="482">
        <v>56498.870276795831</v>
      </c>
      <c r="J104" s="479">
        <f t="shared" si="20"/>
        <v>0</v>
      </c>
      <c r="K104" s="479"/>
      <c r="L104" s="541">
        <f t="shared" si="23"/>
        <v>56498.870276795831</v>
      </c>
      <c r="M104" s="542">
        <f t="shared" si="24"/>
        <v>0</v>
      </c>
      <c r="N104" s="541">
        <f t="shared" si="25"/>
        <v>56498.870276795831</v>
      </c>
      <c r="O104" s="479">
        <f t="shared" si="26"/>
        <v>0</v>
      </c>
      <c r="P104" s="479">
        <f t="shared" si="21"/>
        <v>0</v>
      </c>
    </row>
    <row r="105" spans="1:16" ht="12.5">
      <c r="B105" s="160" t="str">
        <f t="shared" si="22"/>
        <v/>
      </c>
      <c r="C105" s="473">
        <f>IF(D93="","-",+C104+1)</f>
        <v>2012</v>
      </c>
      <c r="D105" s="474">
        <v>347038</v>
      </c>
      <c r="E105" s="481">
        <v>7457</v>
      </c>
      <c r="F105" s="480">
        <v>339581</v>
      </c>
      <c r="G105" s="480">
        <v>343309.5</v>
      </c>
      <c r="H105" s="481">
        <v>56843.953528154576</v>
      </c>
      <c r="I105" s="482">
        <v>56843.953528154576</v>
      </c>
      <c r="J105" s="479">
        <v>0</v>
      </c>
      <c r="K105" s="479"/>
      <c r="L105" s="541">
        <f t="shared" si="23"/>
        <v>56843.953528154576</v>
      </c>
      <c r="M105" s="542">
        <f t="shared" ref="M105:M110" si="27">IF(L105&lt;&gt;0,+H105-L105,0)</f>
        <v>0</v>
      </c>
      <c r="N105" s="541">
        <f t="shared" si="25"/>
        <v>56843.953528154576</v>
      </c>
      <c r="O105" s="479">
        <f t="shared" ref="O105:O110" si="28">IF(N105&lt;&gt;0,+I105-N105,0)</f>
        <v>0</v>
      </c>
      <c r="P105" s="479">
        <f t="shared" ref="P105:P110" si="29">+O105-M105</f>
        <v>0</v>
      </c>
    </row>
    <row r="106" spans="1:16" ht="12.5">
      <c r="B106" s="160" t="str">
        <f t="shared" si="22"/>
        <v/>
      </c>
      <c r="C106" s="473">
        <f>IF(D93="","-",+C105+1)</f>
        <v>2013</v>
      </c>
      <c r="D106" s="474">
        <v>339581</v>
      </c>
      <c r="E106" s="481">
        <v>7457</v>
      </c>
      <c r="F106" s="480">
        <v>332124</v>
      </c>
      <c r="G106" s="480">
        <v>335852.5</v>
      </c>
      <c r="H106" s="481">
        <v>55799.472473591821</v>
      </c>
      <c r="I106" s="482">
        <v>55799.472473591821</v>
      </c>
      <c r="J106" s="479">
        <v>0</v>
      </c>
      <c r="K106" s="479"/>
      <c r="L106" s="541">
        <f t="shared" si="23"/>
        <v>55799.472473591821</v>
      </c>
      <c r="M106" s="542">
        <f t="shared" si="27"/>
        <v>0</v>
      </c>
      <c r="N106" s="541">
        <f t="shared" si="25"/>
        <v>55799.472473591821</v>
      </c>
      <c r="O106" s="479">
        <f t="shared" si="28"/>
        <v>0</v>
      </c>
      <c r="P106" s="479">
        <f t="shared" si="29"/>
        <v>0</v>
      </c>
    </row>
    <row r="107" spans="1:16" ht="12.5">
      <c r="B107" s="160" t="str">
        <f t="shared" si="22"/>
        <v/>
      </c>
      <c r="C107" s="473">
        <f>IF(D93="","-",+C106+1)</f>
        <v>2014</v>
      </c>
      <c r="D107" s="474">
        <v>332124</v>
      </c>
      <c r="E107" s="481">
        <v>7457</v>
      </c>
      <c r="F107" s="480">
        <v>324667</v>
      </c>
      <c r="G107" s="480">
        <v>328395.5</v>
      </c>
      <c r="H107" s="481">
        <v>53628.064898886892</v>
      </c>
      <c r="I107" s="482">
        <v>53628.064898886892</v>
      </c>
      <c r="J107" s="479">
        <v>0</v>
      </c>
      <c r="K107" s="479"/>
      <c r="L107" s="541">
        <f t="shared" si="23"/>
        <v>53628.064898886892</v>
      </c>
      <c r="M107" s="542">
        <f t="shared" si="27"/>
        <v>0</v>
      </c>
      <c r="N107" s="541">
        <f t="shared" si="25"/>
        <v>53628.064898886892</v>
      </c>
      <c r="O107" s="479">
        <f t="shared" si="28"/>
        <v>0</v>
      </c>
      <c r="P107" s="479">
        <f t="shared" si="29"/>
        <v>0</v>
      </c>
    </row>
    <row r="108" spans="1:16" ht="12.5">
      <c r="B108" s="160" t="str">
        <f t="shared" si="22"/>
        <v/>
      </c>
      <c r="C108" s="473">
        <f>IF(D93="","-",+C107+1)</f>
        <v>2015</v>
      </c>
      <c r="D108" s="474">
        <v>324667</v>
      </c>
      <c r="E108" s="481">
        <v>7457</v>
      </c>
      <c r="F108" s="480">
        <v>317210</v>
      </c>
      <c r="G108" s="480">
        <v>320938.5</v>
      </c>
      <c r="H108" s="481">
        <v>51246.477852296055</v>
      </c>
      <c r="I108" s="482">
        <v>51246.477852296055</v>
      </c>
      <c r="J108" s="479">
        <f t="shared" si="20"/>
        <v>0</v>
      </c>
      <c r="K108" s="479"/>
      <c r="L108" s="541">
        <f>H108</f>
        <v>51246.477852296055</v>
      </c>
      <c r="M108" s="542">
        <f t="shared" si="27"/>
        <v>0</v>
      </c>
      <c r="N108" s="541">
        <f>I108</f>
        <v>51246.477852296055</v>
      </c>
      <c r="O108" s="479">
        <f t="shared" si="28"/>
        <v>0</v>
      </c>
      <c r="P108" s="479">
        <f t="shared" si="29"/>
        <v>0</v>
      </c>
    </row>
    <row r="109" spans="1:16" ht="12.5">
      <c r="B109" s="160" t="str">
        <f t="shared" si="22"/>
        <v/>
      </c>
      <c r="C109" s="473">
        <f>IF(D93="","-",+C108+1)</f>
        <v>2016</v>
      </c>
      <c r="D109" s="474">
        <v>317210</v>
      </c>
      <c r="E109" s="481">
        <v>8429</v>
      </c>
      <c r="F109" s="480">
        <v>308781</v>
      </c>
      <c r="G109" s="480">
        <v>312995.5</v>
      </c>
      <c r="H109" s="481">
        <v>48779.04927680167</v>
      </c>
      <c r="I109" s="482">
        <v>48779.04927680167</v>
      </c>
      <c r="J109" s="479">
        <f t="shared" si="20"/>
        <v>0</v>
      </c>
      <c r="K109" s="479"/>
      <c r="L109" s="541">
        <f>H109</f>
        <v>48779.04927680167</v>
      </c>
      <c r="M109" s="542">
        <f t="shared" si="27"/>
        <v>0</v>
      </c>
      <c r="N109" s="541">
        <f>I109</f>
        <v>48779.04927680167</v>
      </c>
      <c r="O109" s="479">
        <f t="shared" si="28"/>
        <v>0</v>
      </c>
      <c r="P109" s="479">
        <f t="shared" si="29"/>
        <v>0</v>
      </c>
    </row>
    <row r="110" spans="1:16" ht="12.5">
      <c r="B110" s="160" t="str">
        <f t="shared" si="22"/>
        <v/>
      </c>
      <c r="C110" s="473">
        <f>IF(D93="","-",+C109+1)</f>
        <v>2017</v>
      </c>
      <c r="D110" s="474">
        <v>308781</v>
      </c>
      <c r="E110" s="481">
        <v>8429</v>
      </c>
      <c r="F110" s="480">
        <v>300352</v>
      </c>
      <c r="G110" s="480">
        <v>304566.5</v>
      </c>
      <c r="H110" s="481">
        <v>47064.028489702585</v>
      </c>
      <c r="I110" s="482">
        <v>47064.028489702585</v>
      </c>
      <c r="J110" s="479">
        <f t="shared" si="20"/>
        <v>0</v>
      </c>
      <c r="K110" s="479"/>
      <c r="L110" s="541">
        <f>H110</f>
        <v>47064.028489702585</v>
      </c>
      <c r="M110" s="542">
        <f t="shared" si="27"/>
        <v>0</v>
      </c>
      <c r="N110" s="541">
        <f>I110</f>
        <v>47064.028489702585</v>
      </c>
      <c r="O110" s="479">
        <f t="shared" si="28"/>
        <v>0</v>
      </c>
      <c r="P110" s="479">
        <f t="shared" si="29"/>
        <v>0</v>
      </c>
    </row>
    <row r="111" spans="1:16" ht="12.5">
      <c r="B111" s="160" t="str">
        <f t="shared" si="22"/>
        <v/>
      </c>
      <c r="C111" s="473">
        <f>IF(D93="","-",+C110+1)</f>
        <v>2018</v>
      </c>
      <c r="D111" s="474">
        <v>300352</v>
      </c>
      <c r="E111" s="481">
        <v>9017</v>
      </c>
      <c r="F111" s="480">
        <v>291335</v>
      </c>
      <c r="G111" s="480">
        <v>295843.5</v>
      </c>
      <c r="H111" s="481">
        <v>39410.649664559314</v>
      </c>
      <c r="I111" s="482">
        <v>39410.649664559314</v>
      </c>
      <c r="J111" s="479">
        <f t="shared" si="20"/>
        <v>0</v>
      </c>
      <c r="K111" s="479"/>
      <c r="L111" s="541">
        <f>H111</f>
        <v>39410.649664559314</v>
      </c>
      <c r="M111" s="542">
        <f t="shared" ref="M111" si="30">IF(L111&lt;&gt;0,+H111-L111,0)</f>
        <v>0</v>
      </c>
      <c r="N111" s="541">
        <f>I111</f>
        <v>39410.649664559314</v>
      </c>
      <c r="O111" s="479">
        <f t="shared" ref="O111" si="31">IF(N111&lt;&gt;0,+I111-N111,0)</f>
        <v>0</v>
      </c>
      <c r="P111" s="479">
        <f t="shared" ref="P111" si="32">+O111-M111</f>
        <v>0</v>
      </c>
    </row>
    <row r="112" spans="1:16" ht="12.5">
      <c r="B112" s="160" t="str">
        <f t="shared" si="22"/>
        <v/>
      </c>
      <c r="C112" s="473">
        <f>IF(D93="","-",+C111+1)</f>
        <v>2019</v>
      </c>
      <c r="D112" s="347">
        <f>IF(F111+SUM(E$99:E111)=D$92,F111,D$92-SUM(E$99:E111))</f>
        <v>291335</v>
      </c>
      <c r="E112" s="487">
        <f>IF(+J96&lt;F111,J96,D112)</f>
        <v>9457</v>
      </c>
      <c r="F112" s="486">
        <f t="shared" ref="F112:F130" si="33">+D112-E112</f>
        <v>281878</v>
      </c>
      <c r="G112" s="486">
        <f t="shared" ref="G112:G130" si="34">+(F112+D112)/2</f>
        <v>286606.5</v>
      </c>
      <c r="H112" s="489">
        <f t="shared" ref="H112:H154" si="35">+J$94*G112+E112</f>
        <v>39010.150115878176</v>
      </c>
      <c r="I112" s="543">
        <f t="shared" ref="I112:I154" si="36">+J$95*G112+E112</f>
        <v>39010.150115878176</v>
      </c>
      <c r="J112" s="479">
        <f t="shared" si="20"/>
        <v>0</v>
      </c>
      <c r="K112" s="479"/>
      <c r="L112" s="488"/>
      <c r="M112" s="479">
        <f t="shared" si="24"/>
        <v>0</v>
      </c>
      <c r="N112" s="488"/>
      <c r="O112" s="479">
        <f t="shared" si="26"/>
        <v>0</v>
      </c>
      <c r="P112" s="479">
        <f t="shared" si="21"/>
        <v>0</v>
      </c>
    </row>
    <row r="113" spans="2:16" ht="12.5">
      <c r="B113" s="160" t="str">
        <f t="shared" si="22"/>
        <v/>
      </c>
      <c r="C113" s="473">
        <f>IF(D93="","-",+C112+1)</f>
        <v>2020</v>
      </c>
      <c r="D113" s="347">
        <f>IF(F112+SUM(E$99:E112)=D$92,F112,D$92-SUM(E$99:E112))</f>
        <v>281878</v>
      </c>
      <c r="E113" s="487">
        <f>IF(+J96&lt;F112,J96,D113)</f>
        <v>9457</v>
      </c>
      <c r="F113" s="486">
        <f t="shared" si="33"/>
        <v>272421</v>
      </c>
      <c r="G113" s="486">
        <f t="shared" si="34"/>
        <v>277149.5</v>
      </c>
      <c r="H113" s="489">
        <f t="shared" si="35"/>
        <v>38035.000771233652</v>
      </c>
      <c r="I113" s="543">
        <f t="shared" si="36"/>
        <v>38035.000771233652</v>
      </c>
      <c r="J113" s="479">
        <f t="shared" si="20"/>
        <v>0</v>
      </c>
      <c r="K113" s="479"/>
      <c r="L113" s="488"/>
      <c r="M113" s="479">
        <f t="shared" si="24"/>
        <v>0</v>
      </c>
      <c r="N113" s="488"/>
      <c r="O113" s="479">
        <f t="shared" si="26"/>
        <v>0</v>
      </c>
      <c r="P113" s="479">
        <f t="shared" si="21"/>
        <v>0</v>
      </c>
    </row>
    <row r="114" spans="2:16" ht="12.5">
      <c r="B114" s="160" t="str">
        <f t="shared" si="22"/>
        <v/>
      </c>
      <c r="C114" s="473">
        <f>IF(D93="","-",+C113+1)</f>
        <v>2021</v>
      </c>
      <c r="D114" s="347">
        <f>IF(F113+SUM(E$99:E113)=D$92,F113,D$92-SUM(E$99:E113))</f>
        <v>272421</v>
      </c>
      <c r="E114" s="487">
        <f>IF(+J96&lt;F113,J96,D114)</f>
        <v>9457</v>
      </c>
      <c r="F114" s="486">
        <f t="shared" si="33"/>
        <v>262964</v>
      </c>
      <c r="G114" s="486">
        <f t="shared" si="34"/>
        <v>267692.5</v>
      </c>
      <c r="H114" s="489">
        <f t="shared" si="35"/>
        <v>37059.851426589128</v>
      </c>
      <c r="I114" s="543">
        <f t="shared" si="36"/>
        <v>37059.851426589128</v>
      </c>
      <c r="J114" s="479">
        <f t="shared" si="20"/>
        <v>0</v>
      </c>
      <c r="K114" s="479"/>
      <c r="L114" s="488"/>
      <c r="M114" s="479">
        <f t="shared" si="24"/>
        <v>0</v>
      </c>
      <c r="N114" s="488"/>
      <c r="O114" s="479">
        <f t="shared" si="26"/>
        <v>0</v>
      </c>
      <c r="P114" s="479">
        <f t="shared" si="21"/>
        <v>0</v>
      </c>
    </row>
    <row r="115" spans="2:16" ht="12.5">
      <c r="B115" s="160" t="str">
        <f t="shared" si="22"/>
        <v/>
      </c>
      <c r="C115" s="473">
        <f>IF(D93="","-",+C114+1)</f>
        <v>2022</v>
      </c>
      <c r="D115" s="347">
        <f>IF(F114+SUM(E$99:E114)=D$92,F114,D$92-SUM(E$99:E114))</f>
        <v>262964</v>
      </c>
      <c r="E115" s="487">
        <f>IF(+J96&lt;F114,J96,D115)</f>
        <v>9457</v>
      </c>
      <c r="F115" s="486">
        <f t="shared" si="33"/>
        <v>253507</v>
      </c>
      <c r="G115" s="486">
        <f t="shared" si="34"/>
        <v>258235.5</v>
      </c>
      <c r="H115" s="489">
        <f t="shared" si="35"/>
        <v>36084.702081944612</v>
      </c>
      <c r="I115" s="543">
        <f t="shared" si="36"/>
        <v>36084.702081944612</v>
      </c>
      <c r="J115" s="479">
        <f t="shared" si="20"/>
        <v>0</v>
      </c>
      <c r="K115" s="479"/>
      <c r="L115" s="488"/>
      <c r="M115" s="479">
        <f t="shared" si="24"/>
        <v>0</v>
      </c>
      <c r="N115" s="488"/>
      <c r="O115" s="479">
        <f t="shared" si="26"/>
        <v>0</v>
      </c>
      <c r="P115" s="479">
        <f t="shared" si="21"/>
        <v>0</v>
      </c>
    </row>
    <row r="116" spans="2:16" ht="12.5">
      <c r="B116" s="160" t="str">
        <f t="shared" si="22"/>
        <v/>
      </c>
      <c r="C116" s="473">
        <f>IF(D93="","-",+C115+1)</f>
        <v>2023</v>
      </c>
      <c r="D116" s="347">
        <f>IF(F115+SUM(E$99:E115)=D$92,F115,D$92-SUM(E$99:E115))</f>
        <v>253507</v>
      </c>
      <c r="E116" s="487">
        <f>IF(+J96&lt;F115,J96,D116)</f>
        <v>9457</v>
      </c>
      <c r="F116" s="486">
        <f t="shared" si="33"/>
        <v>244050</v>
      </c>
      <c r="G116" s="486">
        <f t="shared" si="34"/>
        <v>248778.5</v>
      </c>
      <c r="H116" s="489">
        <f t="shared" si="35"/>
        <v>35109.552737300095</v>
      </c>
      <c r="I116" s="543">
        <f t="shared" si="36"/>
        <v>35109.552737300095</v>
      </c>
      <c r="J116" s="479">
        <f t="shared" si="20"/>
        <v>0</v>
      </c>
      <c r="K116" s="479"/>
      <c r="L116" s="488"/>
      <c r="M116" s="479">
        <f t="shared" si="24"/>
        <v>0</v>
      </c>
      <c r="N116" s="488"/>
      <c r="O116" s="479">
        <f t="shared" si="26"/>
        <v>0</v>
      </c>
      <c r="P116" s="479">
        <f t="shared" si="21"/>
        <v>0</v>
      </c>
    </row>
    <row r="117" spans="2:16" ht="12.5">
      <c r="B117" s="160" t="str">
        <f t="shared" si="22"/>
        <v/>
      </c>
      <c r="C117" s="473">
        <f>IF(D93="","-",+C116+1)</f>
        <v>2024</v>
      </c>
      <c r="D117" s="347">
        <f>IF(F116+SUM(E$99:E116)=D$92,F116,D$92-SUM(E$99:E116))</f>
        <v>244050</v>
      </c>
      <c r="E117" s="487">
        <f>IF(+J96&lt;F116,J96,D117)</f>
        <v>9457</v>
      </c>
      <c r="F117" s="486">
        <f t="shared" si="33"/>
        <v>234593</v>
      </c>
      <c r="G117" s="486">
        <f t="shared" si="34"/>
        <v>239321.5</v>
      </c>
      <c r="H117" s="489">
        <f t="shared" si="35"/>
        <v>34134.403392655571</v>
      </c>
      <c r="I117" s="543">
        <f t="shared" si="36"/>
        <v>34134.403392655571</v>
      </c>
      <c r="J117" s="479">
        <f t="shared" si="20"/>
        <v>0</v>
      </c>
      <c r="K117" s="479"/>
      <c r="L117" s="488"/>
      <c r="M117" s="479">
        <f t="shared" si="24"/>
        <v>0</v>
      </c>
      <c r="N117" s="488"/>
      <c r="O117" s="479">
        <f t="shared" si="26"/>
        <v>0</v>
      </c>
      <c r="P117" s="479">
        <f t="shared" si="21"/>
        <v>0</v>
      </c>
    </row>
    <row r="118" spans="2:16" ht="12.5">
      <c r="B118" s="160" t="str">
        <f t="shared" si="22"/>
        <v/>
      </c>
      <c r="C118" s="473">
        <f>IF(D93="","-",+C117+1)</f>
        <v>2025</v>
      </c>
      <c r="D118" s="347">
        <f>IF(F117+SUM(E$99:E117)=D$92,F117,D$92-SUM(E$99:E117))</f>
        <v>234593</v>
      </c>
      <c r="E118" s="487">
        <f>IF(+J96&lt;F117,J96,D118)</f>
        <v>9457</v>
      </c>
      <c r="F118" s="486">
        <f t="shared" si="33"/>
        <v>225136</v>
      </c>
      <c r="G118" s="486">
        <f t="shared" si="34"/>
        <v>229864.5</v>
      </c>
      <c r="H118" s="489">
        <f t="shared" si="35"/>
        <v>33159.254048011047</v>
      </c>
      <c r="I118" s="543">
        <f t="shared" si="36"/>
        <v>33159.254048011047</v>
      </c>
      <c r="J118" s="479">
        <f t="shared" si="20"/>
        <v>0</v>
      </c>
      <c r="K118" s="479"/>
      <c r="L118" s="488"/>
      <c r="M118" s="479">
        <f t="shared" si="24"/>
        <v>0</v>
      </c>
      <c r="N118" s="488"/>
      <c r="O118" s="479">
        <f t="shared" si="26"/>
        <v>0</v>
      </c>
      <c r="P118" s="479">
        <f t="shared" si="21"/>
        <v>0</v>
      </c>
    </row>
    <row r="119" spans="2:16" ht="12.5">
      <c r="B119" s="160" t="str">
        <f t="shared" si="22"/>
        <v/>
      </c>
      <c r="C119" s="473">
        <f>IF(D93="","-",+C118+1)</f>
        <v>2026</v>
      </c>
      <c r="D119" s="347">
        <f>IF(F118+SUM(E$99:E118)=D$92,F118,D$92-SUM(E$99:E118))</f>
        <v>225136</v>
      </c>
      <c r="E119" s="487">
        <f>IF(+J96&lt;F118,J96,D119)</f>
        <v>9457</v>
      </c>
      <c r="F119" s="486">
        <f t="shared" si="33"/>
        <v>215679</v>
      </c>
      <c r="G119" s="486">
        <f t="shared" si="34"/>
        <v>220407.5</v>
      </c>
      <c r="H119" s="489">
        <f t="shared" si="35"/>
        <v>32184.104703366527</v>
      </c>
      <c r="I119" s="543">
        <f t="shared" si="36"/>
        <v>32184.104703366527</v>
      </c>
      <c r="J119" s="479">
        <f t="shared" si="20"/>
        <v>0</v>
      </c>
      <c r="K119" s="479"/>
      <c r="L119" s="488"/>
      <c r="M119" s="479">
        <f t="shared" si="24"/>
        <v>0</v>
      </c>
      <c r="N119" s="488"/>
      <c r="O119" s="479">
        <f t="shared" si="26"/>
        <v>0</v>
      </c>
      <c r="P119" s="479">
        <f t="shared" si="21"/>
        <v>0</v>
      </c>
    </row>
    <row r="120" spans="2:16" ht="12.5">
      <c r="B120" s="160" t="str">
        <f t="shared" si="22"/>
        <v/>
      </c>
      <c r="C120" s="473">
        <f>IF(D93="","-",+C119+1)</f>
        <v>2027</v>
      </c>
      <c r="D120" s="347">
        <f>IF(F119+SUM(E$99:E119)=D$92,F119,D$92-SUM(E$99:E119))</f>
        <v>215679</v>
      </c>
      <c r="E120" s="487">
        <f>IF(+J96&lt;F119,J96,D120)</f>
        <v>9457</v>
      </c>
      <c r="F120" s="486">
        <f t="shared" si="33"/>
        <v>206222</v>
      </c>
      <c r="G120" s="486">
        <f t="shared" si="34"/>
        <v>210950.5</v>
      </c>
      <c r="H120" s="489">
        <f t="shared" si="35"/>
        <v>31208.955358722007</v>
      </c>
      <c r="I120" s="543">
        <f t="shared" si="36"/>
        <v>31208.955358722007</v>
      </c>
      <c r="J120" s="479">
        <f t="shared" si="20"/>
        <v>0</v>
      </c>
      <c r="K120" s="479"/>
      <c r="L120" s="488"/>
      <c r="M120" s="479">
        <f t="shared" si="24"/>
        <v>0</v>
      </c>
      <c r="N120" s="488"/>
      <c r="O120" s="479">
        <f t="shared" si="26"/>
        <v>0</v>
      </c>
      <c r="P120" s="479">
        <f t="shared" si="21"/>
        <v>0</v>
      </c>
    </row>
    <row r="121" spans="2:16" ht="12.5">
      <c r="B121" s="160" t="str">
        <f t="shared" si="22"/>
        <v/>
      </c>
      <c r="C121" s="473">
        <f>IF(D93="","-",+C120+1)</f>
        <v>2028</v>
      </c>
      <c r="D121" s="347">
        <f>IF(F120+SUM(E$99:E120)=D$92,F120,D$92-SUM(E$99:E120))</f>
        <v>206222</v>
      </c>
      <c r="E121" s="487">
        <f>IF(+J96&lt;F120,J96,D121)</f>
        <v>9457</v>
      </c>
      <c r="F121" s="486">
        <f t="shared" si="33"/>
        <v>196765</v>
      </c>
      <c r="G121" s="486">
        <f t="shared" si="34"/>
        <v>201493.5</v>
      </c>
      <c r="H121" s="489">
        <f t="shared" si="35"/>
        <v>30233.806014077487</v>
      </c>
      <c r="I121" s="543">
        <f t="shared" si="36"/>
        <v>30233.806014077487</v>
      </c>
      <c r="J121" s="479">
        <f t="shared" si="20"/>
        <v>0</v>
      </c>
      <c r="K121" s="479"/>
      <c r="L121" s="488"/>
      <c r="M121" s="479">
        <f t="shared" si="24"/>
        <v>0</v>
      </c>
      <c r="N121" s="488"/>
      <c r="O121" s="479">
        <f t="shared" si="26"/>
        <v>0</v>
      </c>
      <c r="P121" s="479">
        <f t="shared" si="21"/>
        <v>0</v>
      </c>
    </row>
    <row r="122" spans="2:16" ht="12.5">
      <c r="B122" s="160" t="str">
        <f t="shared" si="22"/>
        <v/>
      </c>
      <c r="C122" s="473">
        <f>IF(D93="","-",+C121+1)</f>
        <v>2029</v>
      </c>
      <c r="D122" s="347">
        <f>IF(F121+SUM(E$99:E121)=D$92,F121,D$92-SUM(E$99:E121))</f>
        <v>196765</v>
      </c>
      <c r="E122" s="487">
        <f>IF(+J96&lt;F121,J96,D122)</f>
        <v>9457</v>
      </c>
      <c r="F122" s="486">
        <f t="shared" si="33"/>
        <v>187308</v>
      </c>
      <c r="G122" s="486">
        <f t="shared" si="34"/>
        <v>192036.5</v>
      </c>
      <c r="H122" s="489">
        <f t="shared" si="35"/>
        <v>29258.656669432963</v>
      </c>
      <c r="I122" s="543">
        <f t="shared" si="36"/>
        <v>29258.656669432963</v>
      </c>
      <c r="J122" s="479">
        <f t="shared" si="20"/>
        <v>0</v>
      </c>
      <c r="K122" s="479"/>
      <c r="L122" s="488"/>
      <c r="M122" s="479">
        <f t="shared" si="24"/>
        <v>0</v>
      </c>
      <c r="N122" s="488"/>
      <c r="O122" s="479">
        <f t="shared" si="26"/>
        <v>0</v>
      </c>
      <c r="P122" s="479">
        <f t="shared" si="21"/>
        <v>0</v>
      </c>
    </row>
    <row r="123" spans="2:16" ht="12.5">
      <c r="B123" s="160" t="str">
        <f t="shared" si="22"/>
        <v/>
      </c>
      <c r="C123" s="473">
        <f>IF(D93="","-",+C122+1)</f>
        <v>2030</v>
      </c>
      <c r="D123" s="347">
        <f>IF(F122+SUM(E$99:E122)=D$92,F122,D$92-SUM(E$99:E122))</f>
        <v>187308</v>
      </c>
      <c r="E123" s="487">
        <f>IF(+J96&lt;F122,J96,D123)</f>
        <v>9457</v>
      </c>
      <c r="F123" s="486">
        <f t="shared" si="33"/>
        <v>177851</v>
      </c>
      <c r="G123" s="486">
        <f t="shared" si="34"/>
        <v>182579.5</v>
      </c>
      <c r="H123" s="489">
        <f t="shared" si="35"/>
        <v>28283.507324788443</v>
      </c>
      <c r="I123" s="543">
        <f t="shared" si="36"/>
        <v>28283.507324788443</v>
      </c>
      <c r="J123" s="479">
        <f t="shared" si="20"/>
        <v>0</v>
      </c>
      <c r="K123" s="479"/>
      <c r="L123" s="488"/>
      <c r="M123" s="479">
        <f t="shared" si="24"/>
        <v>0</v>
      </c>
      <c r="N123" s="488"/>
      <c r="O123" s="479">
        <f t="shared" si="26"/>
        <v>0</v>
      </c>
      <c r="P123" s="479">
        <f t="shared" si="21"/>
        <v>0</v>
      </c>
    </row>
    <row r="124" spans="2:16" ht="12.5">
      <c r="B124" s="160" t="str">
        <f t="shared" si="22"/>
        <v/>
      </c>
      <c r="C124" s="473">
        <f>IF(D93="","-",+C123+1)</f>
        <v>2031</v>
      </c>
      <c r="D124" s="347">
        <f>IF(F123+SUM(E$99:E123)=D$92,F123,D$92-SUM(E$99:E123))</f>
        <v>177851</v>
      </c>
      <c r="E124" s="487">
        <f>IF(+J96&lt;F123,J96,D124)</f>
        <v>9457</v>
      </c>
      <c r="F124" s="486">
        <f t="shared" si="33"/>
        <v>168394</v>
      </c>
      <c r="G124" s="486">
        <f t="shared" si="34"/>
        <v>173122.5</v>
      </c>
      <c r="H124" s="489">
        <f t="shared" si="35"/>
        <v>27308.357980143923</v>
      </c>
      <c r="I124" s="543">
        <f t="shared" si="36"/>
        <v>27308.357980143923</v>
      </c>
      <c r="J124" s="479">
        <f t="shared" si="20"/>
        <v>0</v>
      </c>
      <c r="K124" s="479"/>
      <c r="L124" s="488"/>
      <c r="M124" s="479">
        <f t="shared" si="24"/>
        <v>0</v>
      </c>
      <c r="N124" s="488"/>
      <c r="O124" s="479">
        <f t="shared" si="26"/>
        <v>0</v>
      </c>
      <c r="P124" s="479">
        <f t="shared" si="21"/>
        <v>0</v>
      </c>
    </row>
    <row r="125" spans="2:16" ht="12.5">
      <c r="B125" s="160" t="str">
        <f t="shared" si="22"/>
        <v/>
      </c>
      <c r="C125" s="473">
        <f>IF(D93="","-",+C124+1)</f>
        <v>2032</v>
      </c>
      <c r="D125" s="347">
        <f>IF(F124+SUM(E$99:E124)=D$92,F124,D$92-SUM(E$99:E124))</f>
        <v>168394</v>
      </c>
      <c r="E125" s="487">
        <f>IF(+J96&lt;F124,J96,D125)</f>
        <v>9457</v>
      </c>
      <c r="F125" s="486">
        <f t="shared" si="33"/>
        <v>158937</v>
      </c>
      <c r="G125" s="486">
        <f t="shared" si="34"/>
        <v>163665.5</v>
      </c>
      <c r="H125" s="489">
        <f t="shared" si="35"/>
        <v>26333.208635499403</v>
      </c>
      <c r="I125" s="543">
        <f t="shared" si="36"/>
        <v>26333.208635499403</v>
      </c>
      <c r="J125" s="479">
        <f t="shared" si="20"/>
        <v>0</v>
      </c>
      <c r="K125" s="479"/>
      <c r="L125" s="488"/>
      <c r="M125" s="479">
        <f t="shared" si="24"/>
        <v>0</v>
      </c>
      <c r="N125" s="488"/>
      <c r="O125" s="479">
        <f t="shared" si="26"/>
        <v>0</v>
      </c>
      <c r="P125" s="479">
        <f t="shared" si="21"/>
        <v>0</v>
      </c>
    </row>
    <row r="126" spans="2:16" ht="12.5">
      <c r="B126" s="160" t="str">
        <f t="shared" si="22"/>
        <v/>
      </c>
      <c r="C126" s="473">
        <f>IF(D93="","-",+C125+1)</f>
        <v>2033</v>
      </c>
      <c r="D126" s="347">
        <f>IF(F125+SUM(E$99:E125)=D$92,F125,D$92-SUM(E$99:E125))</f>
        <v>158937</v>
      </c>
      <c r="E126" s="487">
        <f>IF(+J96&lt;F125,J96,D126)</f>
        <v>9457</v>
      </c>
      <c r="F126" s="486">
        <f t="shared" si="33"/>
        <v>149480</v>
      </c>
      <c r="G126" s="486">
        <f t="shared" si="34"/>
        <v>154208.5</v>
      </c>
      <c r="H126" s="489">
        <f t="shared" si="35"/>
        <v>25358.059290854879</v>
      </c>
      <c r="I126" s="543">
        <f t="shared" si="36"/>
        <v>25358.059290854879</v>
      </c>
      <c r="J126" s="479">
        <f t="shared" si="20"/>
        <v>0</v>
      </c>
      <c r="K126" s="479"/>
      <c r="L126" s="488"/>
      <c r="M126" s="479">
        <f t="shared" si="24"/>
        <v>0</v>
      </c>
      <c r="N126" s="488"/>
      <c r="O126" s="479">
        <f t="shared" si="26"/>
        <v>0</v>
      </c>
      <c r="P126" s="479">
        <f t="shared" si="21"/>
        <v>0</v>
      </c>
    </row>
    <row r="127" spans="2:16" ht="12.5">
      <c r="B127" s="160" t="str">
        <f t="shared" si="22"/>
        <v/>
      </c>
      <c r="C127" s="473">
        <f>IF(D93="","-",+C126+1)</f>
        <v>2034</v>
      </c>
      <c r="D127" s="347">
        <f>IF(F126+SUM(E$99:E126)=D$92,F126,D$92-SUM(E$99:E126))</f>
        <v>149480</v>
      </c>
      <c r="E127" s="487">
        <f>IF(+J96&lt;F126,J96,D127)</f>
        <v>9457</v>
      </c>
      <c r="F127" s="486">
        <f t="shared" si="33"/>
        <v>140023</v>
      </c>
      <c r="G127" s="486">
        <f t="shared" si="34"/>
        <v>144751.5</v>
      </c>
      <c r="H127" s="489">
        <f t="shared" si="35"/>
        <v>24382.909946210362</v>
      </c>
      <c r="I127" s="543">
        <f t="shared" si="36"/>
        <v>24382.909946210362</v>
      </c>
      <c r="J127" s="479">
        <f t="shared" si="20"/>
        <v>0</v>
      </c>
      <c r="K127" s="479"/>
      <c r="L127" s="488"/>
      <c r="M127" s="479">
        <f t="shared" si="24"/>
        <v>0</v>
      </c>
      <c r="N127" s="488"/>
      <c r="O127" s="479">
        <f t="shared" si="26"/>
        <v>0</v>
      </c>
      <c r="P127" s="479">
        <f t="shared" si="21"/>
        <v>0</v>
      </c>
    </row>
    <row r="128" spans="2:16" ht="12.5">
      <c r="B128" s="160" t="str">
        <f t="shared" si="22"/>
        <v/>
      </c>
      <c r="C128" s="473">
        <f>IF(D93="","-",+C127+1)</f>
        <v>2035</v>
      </c>
      <c r="D128" s="347">
        <f>IF(F127+SUM(E$99:E127)=D$92,F127,D$92-SUM(E$99:E127))</f>
        <v>140023</v>
      </c>
      <c r="E128" s="487">
        <f>IF(+J96&lt;F127,J96,D128)</f>
        <v>9457</v>
      </c>
      <c r="F128" s="486">
        <f t="shared" si="33"/>
        <v>130566</v>
      </c>
      <c r="G128" s="486">
        <f t="shared" si="34"/>
        <v>135294.5</v>
      </c>
      <c r="H128" s="489">
        <f t="shared" si="35"/>
        <v>23407.760601565838</v>
      </c>
      <c r="I128" s="543">
        <f t="shared" si="36"/>
        <v>23407.760601565838</v>
      </c>
      <c r="J128" s="479">
        <f t="shared" si="20"/>
        <v>0</v>
      </c>
      <c r="K128" s="479"/>
      <c r="L128" s="488"/>
      <c r="M128" s="479">
        <f t="shared" si="24"/>
        <v>0</v>
      </c>
      <c r="N128" s="488"/>
      <c r="O128" s="479">
        <f t="shared" si="26"/>
        <v>0</v>
      </c>
      <c r="P128" s="479">
        <f t="shared" si="21"/>
        <v>0</v>
      </c>
    </row>
    <row r="129" spans="2:16" ht="12.5">
      <c r="B129" s="160" t="str">
        <f t="shared" si="22"/>
        <v/>
      </c>
      <c r="C129" s="473">
        <f>IF(D93="","-",+C128+1)</f>
        <v>2036</v>
      </c>
      <c r="D129" s="347">
        <f>IF(F128+SUM(E$99:E128)=D$92,F128,D$92-SUM(E$99:E128))</f>
        <v>130566</v>
      </c>
      <c r="E129" s="487">
        <f>IF(+J96&lt;F128,J96,D129)</f>
        <v>9457</v>
      </c>
      <c r="F129" s="486">
        <f t="shared" si="33"/>
        <v>121109</v>
      </c>
      <c r="G129" s="486">
        <f t="shared" si="34"/>
        <v>125837.5</v>
      </c>
      <c r="H129" s="489">
        <f t="shared" si="35"/>
        <v>22432.611256921318</v>
      </c>
      <c r="I129" s="543">
        <f t="shared" si="36"/>
        <v>22432.611256921318</v>
      </c>
      <c r="J129" s="479">
        <f t="shared" si="20"/>
        <v>0</v>
      </c>
      <c r="K129" s="479"/>
      <c r="L129" s="488"/>
      <c r="M129" s="479">
        <f t="shared" si="24"/>
        <v>0</v>
      </c>
      <c r="N129" s="488"/>
      <c r="O129" s="479">
        <f t="shared" si="26"/>
        <v>0</v>
      </c>
      <c r="P129" s="479">
        <f t="shared" si="21"/>
        <v>0</v>
      </c>
    </row>
    <row r="130" spans="2:16" ht="12.5">
      <c r="B130" s="160" t="str">
        <f t="shared" si="22"/>
        <v/>
      </c>
      <c r="C130" s="473">
        <f>IF(D93="","-",+C129+1)</f>
        <v>2037</v>
      </c>
      <c r="D130" s="347">
        <f>IF(F129+SUM(E$99:E129)=D$92,F129,D$92-SUM(E$99:E129))</f>
        <v>121109</v>
      </c>
      <c r="E130" s="487">
        <f>IF(+J96&lt;F129,J96,D130)</f>
        <v>9457</v>
      </c>
      <c r="F130" s="486">
        <f t="shared" si="33"/>
        <v>111652</v>
      </c>
      <c r="G130" s="486">
        <f t="shared" si="34"/>
        <v>116380.5</v>
      </c>
      <c r="H130" s="489">
        <f t="shared" si="35"/>
        <v>21457.461912276798</v>
      </c>
      <c r="I130" s="543">
        <f t="shared" si="36"/>
        <v>21457.461912276798</v>
      </c>
      <c r="J130" s="479">
        <f t="shared" si="20"/>
        <v>0</v>
      </c>
      <c r="K130" s="479"/>
      <c r="L130" s="488"/>
      <c r="M130" s="479">
        <f t="shared" si="24"/>
        <v>0</v>
      </c>
      <c r="N130" s="488"/>
      <c r="O130" s="479">
        <f t="shared" si="26"/>
        <v>0</v>
      </c>
      <c r="P130" s="479">
        <f t="shared" si="21"/>
        <v>0</v>
      </c>
    </row>
    <row r="131" spans="2:16" ht="12.5">
      <c r="B131" s="160" t="str">
        <f t="shared" si="22"/>
        <v/>
      </c>
      <c r="C131" s="473">
        <f>IF(D93="","-",+C130+1)</f>
        <v>2038</v>
      </c>
      <c r="D131" s="347">
        <f>IF(F130+SUM(E$99:E130)=D$92,F130,D$92-SUM(E$99:E130))</f>
        <v>111652</v>
      </c>
      <c r="E131" s="487">
        <f>IF(+J96&lt;F130,J96,D131)</f>
        <v>9457</v>
      </c>
      <c r="F131" s="486">
        <f t="shared" ref="F131:F154" si="37">+D131-E131</f>
        <v>102195</v>
      </c>
      <c r="G131" s="486">
        <f t="shared" ref="G131:G154" si="38">+(F131+D131)/2</f>
        <v>106923.5</v>
      </c>
      <c r="H131" s="489">
        <f t="shared" si="35"/>
        <v>20482.312567632274</v>
      </c>
      <c r="I131" s="543">
        <f t="shared" si="36"/>
        <v>20482.312567632274</v>
      </c>
      <c r="J131" s="479">
        <f t="shared" ref="J131:J154" si="39">+I131-H131</f>
        <v>0</v>
      </c>
      <c r="K131" s="479"/>
      <c r="L131" s="488"/>
      <c r="M131" s="479">
        <f t="shared" si="24"/>
        <v>0</v>
      </c>
      <c r="N131" s="488"/>
      <c r="O131" s="479">
        <f t="shared" si="26"/>
        <v>0</v>
      </c>
      <c r="P131" s="479">
        <f t="shared" ref="P131:P154" si="40">+O131-M131</f>
        <v>0</v>
      </c>
    </row>
    <row r="132" spans="2:16" ht="12.5">
      <c r="B132" s="160" t="str">
        <f t="shared" si="22"/>
        <v/>
      </c>
      <c r="C132" s="473">
        <f>IF(D93="","-",+C131+1)</f>
        <v>2039</v>
      </c>
      <c r="D132" s="347">
        <f>IF(F131+SUM(E$99:E131)=D$92,F131,D$92-SUM(E$99:E131))</f>
        <v>102195</v>
      </c>
      <c r="E132" s="487">
        <f>IF(+J96&lt;F131,J96,D132)</f>
        <v>9457</v>
      </c>
      <c r="F132" s="486">
        <f t="shared" si="37"/>
        <v>92738</v>
      </c>
      <c r="G132" s="486">
        <f t="shared" si="38"/>
        <v>97466.5</v>
      </c>
      <c r="H132" s="489">
        <f t="shared" si="35"/>
        <v>19507.163222987754</v>
      </c>
      <c r="I132" s="543">
        <f t="shared" si="36"/>
        <v>19507.163222987754</v>
      </c>
      <c r="J132" s="479">
        <f t="shared" si="39"/>
        <v>0</v>
      </c>
      <c r="K132" s="479"/>
      <c r="L132" s="488"/>
      <c r="M132" s="479">
        <f t="shared" si="24"/>
        <v>0</v>
      </c>
      <c r="N132" s="488"/>
      <c r="O132" s="479">
        <f t="shared" si="26"/>
        <v>0</v>
      </c>
      <c r="P132" s="479">
        <f t="shared" si="40"/>
        <v>0</v>
      </c>
    </row>
    <row r="133" spans="2:16" ht="12.5">
      <c r="B133" s="160" t="str">
        <f t="shared" si="22"/>
        <v/>
      </c>
      <c r="C133" s="473">
        <f>IF(D93="","-",+C132+1)</f>
        <v>2040</v>
      </c>
      <c r="D133" s="347">
        <f>IF(F132+SUM(E$99:E132)=D$92,F132,D$92-SUM(E$99:E132))</f>
        <v>92738</v>
      </c>
      <c r="E133" s="487">
        <f>IF(+J96&lt;F132,J96,D133)</f>
        <v>9457</v>
      </c>
      <c r="F133" s="486">
        <f t="shared" si="37"/>
        <v>83281</v>
      </c>
      <c r="G133" s="486">
        <f t="shared" si="38"/>
        <v>88009.5</v>
      </c>
      <c r="H133" s="489">
        <f t="shared" si="35"/>
        <v>18532.013878343234</v>
      </c>
      <c r="I133" s="543">
        <f t="shared" si="36"/>
        <v>18532.013878343234</v>
      </c>
      <c r="J133" s="479">
        <f t="shared" si="39"/>
        <v>0</v>
      </c>
      <c r="K133" s="479"/>
      <c r="L133" s="488"/>
      <c r="M133" s="479">
        <f t="shared" si="24"/>
        <v>0</v>
      </c>
      <c r="N133" s="488"/>
      <c r="O133" s="479">
        <f t="shared" si="26"/>
        <v>0</v>
      </c>
      <c r="P133" s="479">
        <f t="shared" si="40"/>
        <v>0</v>
      </c>
    </row>
    <row r="134" spans="2:16" ht="12.5">
      <c r="B134" s="160" t="str">
        <f t="shared" si="22"/>
        <v/>
      </c>
      <c r="C134" s="473">
        <f>IF(D93="","-",+C133+1)</f>
        <v>2041</v>
      </c>
      <c r="D134" s="347">
        <f>IF(F133+SUM(E$99:E133)=D$92,F133,D$92-SUM(E$99:E133))</f>
        <v>83281</v>
      </c>
      <c r="E134" s="487">
        <f>IF(+J96&lt;F133,J96,D134)</f>
        <v>9457</v>
      </c>
      <c r="F134" s="486">
        <f t="shared" si="37"/>
        <v>73824</v>
      </c>
      <c r="G134" s="486">
        <f t="shared" si="38"/>
        <v>78552.5</v>
      </c>
      <c r="H134" s="489">
        <f t="shared" si="35"/>
        <v>17556.864533698714</v>
      </c>
      <c r="I134" s="543">
        <f t="shared" si="36"/>
        <v>17556.864533698714</v>
      </c>
      <c r="J134" s="479">
        <f t="shared" si="39"/>
        <v>0</v>
      </c>
      <c r="K134" s="479"/>
      <c r="L134" s="488"/>
      <c r="M134" s="479">
        <f t="shared" ref="M134:M154" si="41">IF(L134&lt;&gt;0,+H134-L134,0)</f>
        <v>0</v>
      </c>
      <c r="N134" s="488"/>
      <c r="O134" s="479">
        <f t="shared" ref="O134:O154" si="42">IF(N134&lt;&gt;0,+I134-N134,0)</f>
        <v>0</v>
      </c>
      <c r="P134" s="479">
        <f t="shared" si="40"/>
        <v>0</v>
      </c>
    </row>
    <row r="135" spans="2:16" ht="12.5">
      <c r="B135" s="160" t="str">
        <f t="shared" si="22"/>
        <v/>
      </c>
      <c r="C135" s="473">
        <f>IF(D93="","-",+C134+1)</f>
        <v>2042</v>
      </c>
      <c r="D135" s="347">
        <f>IF(F134+SUM(E$99:E134)=D$92,F134,D$92-SUM(E$99:E134))</f>
        <v>73824</v>
      </c>
      <c r="E135" s="487">
        <f>IF(+J96&lt;F134,J96,D135)</f>
        <v>9457</v>
      </c>
      <c r="F135" s="486">
        <f t="shared" si="37"/>
        <v>64367</v>
      </c>
      <c r="G135" s="486">
        <f t="shared" si="38"/>
        <v>69095.5</v>
      </c>
      <c r="H135" s="489">
        <f t="shared" si="35"/>
        <v>16581.715189054194</v>
      </c>
      <c r="I135" s="543">
        <f t="shared" si="36"/>
        <v>16581.715189054194</v>
      </c>
      <c r="J135" s="479">
        <f t="shared" si="39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0"/>
        <v>0</v>
      </c>
    </row>
    <row r="136" spans="2:16" ht="12.5">
      <c r="B136" s="160" t="str">
        <f t="shared" si="22"/>
        <v/>
      </c>
      <c r="C136" s="473">
        <f>IF(D93="","-",+C135+1)</f>
        <v>2043</v>
      </c>
      <c r="D136" s="347">
        <f>IF(F135+SUM(E$99:E135)=D$92,F135,D$92-SUM(E$99:E135))</f>
        <v>64367</v>
      </c>
      <c r="E136" s="487">
        <f>IF(+J96&lt;F135,J96,D136)</f>
        <v>9457</v>
      </c>
      <c r="F136" s="486">
        <f t="shared" si="37"/>
        <v>54910</v>
      </c>
      <c r="G136" s="486">
        <f t="shared" si="38"/>
        <v>59638.5</v>
      </c>
      <c r="H136" s="489">
        <f t="shared" si="35"/>
        <v>15606.565844409672</v>
      </c>
      <c r="I136" s="543">
        <f t="shared" si="36"/>
        <v>15606.565844409672</v>
      </c>
      <c r="J136" s="479">
        <f t="shared" si="39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0"/>
        <v>0</v>
      </c>
    </row>
    <row r="137" spans="2:16" ht="12.5">
      <c r="B137" s="160" t="str">
        <f t="shared" si="22"/>
        <v/>
      </c>
      <c r="C137" s="473">
        <f>IF(D93="","-",+C136+1)</f>
        <v>2044</v>
      </c>
      <c r="D137" s="347">
        <f>IF(F136+SUM(E$99:E136)=D$92,F136,D$92-SUM(E$99:E136))</f>
        <v>54910</v>
      </c>
      <c r="E137" s="487">
        <f>IF(+J96&lt;F136,J96,D137)</f>
        <v>9457</v>
      </c>
      <c r="F137" s="486">
        <f t="shared" si="37"/>
        <v>45453</v>
      </c>
      <c r="G137" s="486">
        <f t="shared" si="38"/>
        <v>50181.5</v>
      </c>
      <c r="H137" s="489">
        <f t="shared" si="35"/>
        <v>14631.41649976515</v>
      </c>
      <c r="I137" s="543">
        <f t="shared" si="36"/>
        <v>14631.41649976515</v>
      </c>
      <c r="J137" s="479">
        <f t="shared" si="39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0"/>
        <v>0</v>
      </c>
    </row>
    <row r="138" spans="2:16" ht="12.5">
      <c r="B138" s="160" t="str">
        <f t="shared" si="22"/>
        <v/>
      </c>
      <c r="C138" s="473">
        <f>IF(D93="","-",+C137+1)</f>
        <v>2045</v>
      </c>
      <c r="D138" s="347">
        <f>IF(F137+SUM(E$99:E137)=D$92,F137,D$92-SUM(E$99:E137))</f>
        <v>45453</v>
      </c>
      <c r="E138" s="487">
        <f>IF(+J96&lt;F137,J96,D138)</f>
        <v>9457</v>
      </c>
      <c r="F138" s="486">
        <f t="shared" si="37"/>
        <v>35996</v>
      </c>
      <c r="G138" s="486">
        <f t="shared" si="38"/>
        <v>40724.5</v>
      </c>
      <c r="H138" s="489">
        <f t="shared" si="35"/>
        <v>13656.267155120629</v>
      </c>
      <c r="I138" s="543">
        <f t="shared" si="36"/>
        <v>13656.267155120629</v>
      </c>
      <c r="J138" s="479">
        <f t="shared" si="39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0"/>
        <v>0</v>
      </c>
    </row>
    <row r="139" spans="2:16" ht="12.5">
      <c r="B139" s="160" t="str">
        <f t="shared" si="22"/>
        <v/>
      </c>
      <c r="C139" s="473">
        <f>IF(D93="","-",+C138+1)</f>
        <v>2046</v>
      </c>
      <c r="D139" s="347">
        <f>IF(F138+SUM(E$99:E138)=D$92,F138,D$92-SUM(E$99:E138))</f>
        <v>35996</v>
      </c>
      <c r="E139" s="487">
        <f>IF(+J96&lt;F138,J96,D139)</f>
        <v>9457</v>
      </c>
      <c r="F139" s="486">
        <f t="shared" si="37"/>
        <v>26539</v>
      </c>
      <c r="G139" s="486">
        <f t="shared" si="38"/>
        <v>31267.5</v>
      </c>
      <c r="H139" s="489">
        <f t="shared" si="35"/>
        <v>12681.117810476109</v>
      </c>
      <c r="I139" s="543">
        <f t="shared" si="36"/>
        <v>12681.117810476109</v>
      </c>
      <c r="J139" s="479">
        <f t="shared" si="39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0"/>
        <v>0</v>
      </c>
    </row>
    <row r="140" spans="2:16" ht="12.5">
      <c r="B140" s="160" t="str">
        <f t="shared" si="22"/>
        <v/>
      </c>
      <c r="C140" s="473">
        <f>IF(D93="","-",+C139+1)</f>
        <v>2047</v>
      </c>
      <c r="D140" s="347">
        <f>IF(F139+SUM(E$99:E139)=D$92,F139,D$92-SUM(E$99:E139))</f>
        <v>26539</v>
      </c>
      <c r="E140" s="487">
        <f>IF(+J96&lt;F139,J96,D140)</f>
        <v>9457</v>
      </c>
      <c r="F140" s="486">
        <f t="shared" si="37"/>
        <v>17082</v>
      </c>
      <c r="G140" s="486">
        <f t="shared" si="38"/>
        <v>21810.5</v>
      </c>
      <c r="H140" s="489">
        <f t="shared" si="35"/>
        <v>11705.968465831587</v>
      </c>
      <c r="I140" s="543">
        <f t="shared" si="36"/>
        <v>11705.968465831587</v>
      </c>
      <c r="J140" s="479">
        <f t="shared" si="39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0"/>
        <v>0</v>
      </c>
    </row>
    <row r="141" spans="2:16" ht="12.5">
      <c r="B141" s="160" t="str">
        <f t="shared" si="22"/>
        <v/>
      </c>
      <c r="C141" s="473">
        <f>IF(D93="","-",+C140+1)</f>
        <v>2048</v>
      </c>
      <c r="D141" s="347">
        <f>IF(F140+SUM(E$99:E140)=D$92,F140,D$92-SUM(E$99:E140))</f>
        <v>17082</v>
      </c>
      <c r="E141" s="487">
        <f>IF(+J96&lt;F140,J96,D141)</f>
        <v>9457</v>
      </c>
      <c r="F141" s="486">
        <f t="shared" si="37"/>
        <v>7625</v>
      </c>
      <c r="G141" s="486">
        <f t="shared" si="38"/>
        <v>12353.5</v>
      </c>
      <c r="H141" s="489">
        <f t="shared" si="35"/>
        <v>10730.819121187067</v>
      </c>
      <c r="I141" s="543">
        <f t="shared" si="36"/>
        <v>10730.819121187067</v>
      </c>
      <c r="J141" s="479">
        <f t="shared" si="39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0"/>
        <v>0</v>
      </c>
    </row>
    <row r="142" spans="2:16" ht="12.5">
      <c r="B142" s="160" t="str">
        <f t="shared" si="22"/>
        <v/>
      </c>
      <c r="C142" s="473">
        <f>IF(D93="","-",+C141+1)</f>
        <v>2049</v>
      </c>
      <c r="D142" s="347">
        <f>IF(F141+SUM(E$99:E141)=D$92,F141,D$92-SUM(E$99:E141))</f>
        <v>7625</v>
      </c>
      <c r="E142" s="487">
        <f>IF(+J96&lt;F141,J96,D142)</f>
        <v>7625</v>
      </c>
      <c r="F142" s="486">
        <f t="shared" si="37"/>
        <v>0</v>
      </c>
      <c r="G142" s="486">
        <f t="shared" si="38"/>
        <v>3812.5</v>
      </c>
      <c r="H142" s="489">
        <f t="shared" si="35"/>
        <v>8018.1222244324035</v>
      </c>
      <c r="I142" s="543">
        <f t="shared" si="36"/>
        <v>8018.1222244324035</v>
      </c>
      <c r="J142" s="479">
        <f t="shared" si="39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0"/>
        <v>0</v>
      </c>
    </row>
    <row r="143" spans="2:16" ht="12.5">
      <c r="B143" s="160" t="str">
        <f t="shared" si="22"/>
        <v/>
      </c>
      <c r="C143" s="473">
        <f>IF(D93="","-",+C142+1)</f>
        <v>2050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7"/>
        <v>0</v>
      </c>
      <c r="G143" s="486">
        <f t="shared" si="38"/>
        <v>0</v>
      </c>
      <c r="H143" s="489">
        <f t="shared" si="35"/>
        <v>0</v>
      </c>
      <c r="I143" s="543">
        <f t="shared" si="36"/>
        <v>0</v>
      </c>
      <c r="J143" s="479">
        <f t="shared" si="39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0"/>
        <v>0</v>
      </c>
    </row>
    <row r="144" spans="2:16" ht="12.5">
      <c r="B144" s="160" t="str">
        <f t="shared" si="22"/>
        <v/>
      </c>
      <c r="C144" s="473">
        <f>IF(D93="","-",+C143+1)</f>
        <v>2051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7"/>
        <v>0</v>
      </c>
      <c r="G144" s="486">
        <f t="shared" si="38"/>
        <v>0</v>
      </c>
      <c r="H144" s="489">
        <f t="shared" si="35"/>
        <v>0</v>
      </c>
      <c r="I144" s="543">
        <f t="shared" si="36"/>
        <v>0</v>
      </c>
      <c r="J144" s="479">
        <f t="shared" si="39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0"/>
        <v>0</v>
      </c>
    </row>
    <row r="145" spans="2:16" ht="12.5">
      <c r="B145" s="160" t="str">
        <f t="shared" si="22"/>
        <v/>
      </c>
      <c r="C145" s="473">
        <f>IF(D93="","-",+C144+1)</f>
        <v>2052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7"/>
        <v>0</v>
      </c>
      <c r="G145" s="486">
        <f t="shared" si="38"/>
        <v>0</v>
      </c>
      <c r="H145" s="489">
        <f t="shared" si="35"/>
        <v>0</v>
      </c>
      <c r="I145" s="543">
        <f t="shared" si="36"/>
        <v>0</v>
      </c>
      <c r="J145" s="479">
        <f t="shared" si="39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0"/>
        <v>0</v>
      </c>
    </row>
    <row r="146" spans="2:16" ht="12.5">
      <c r="B146" s="160" t="str">
        <f t="shared" si="22"/>
        <v/>
      </c>
      <c r="C146" s="473">
        <f>IF(D93="","-",+C145+1)</f>
        <v>2053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7"/>
        <v>0</v>
      </c>
      <c r="G146" s="486">
        <f t="shared" si="38"/>
        <v>0</v>
      </c>
      <c r="H146" s="489">
        <f t="shared" si="35"/>
        <v>0</v>
      </c>
      <c r="I146" s="543">
        <f t="shared" si="36"/>
        <v>0</v>
      </c>
      <c r="J146" s="479">
        <f t="shared" si="39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0"/>
        <v>0</v>
      </c>
    </row>
    <row r="147" spans="2:16" ht="12.5">
      <c r="B147" s="160" t="str">
        <f t="shared" si="22"/>
        <v/>
      </c>
      <c r="C147" s="473">
        <f>IF(D93="","-",+C146+1)</f>
        <v>2054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7"/>
        <v>0</v>
      </c>
      <c r="G147" s="486">
        <f t="shared" si="38"/>
        <v>0</v>
      </c>
      <c r="H147" s="489">
        <f t="shared" si="35"/>
        <v>0</v>
      </c>
      <c r="I147" s="543">
        <f t="shared" si="36"/>
        <v>0</v>
      </c>
      <c r="J147" s="479">
        <f t="shared" si="39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0"/>
        <v>0</v>
      </c>
    </row>
    <row r="148" spans="2:16" ht="12.5">
      <c r="B148" s="160" t="str">
        <f t="shared" si="22"/>
        <v/>
      </c>
      <c r="C148" s="473">
        <f>IF(D93="","-",+C147+1)</f>
        <v>2055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7"/>
        <v>0</v>
      </c>
      <c r="G148" s="486">
        <f t="shared" si="38"/>
        <v>0</v>
      </c>
      <c r="H148" s="489">
        <f t="shared" si="35"/>
        <v>0</v>
      </c>
      <c r="I148" s="543">
        <f t="shared" si="36"/>
        <v>0</v>
      </c>
      <c r="J148" s="479">
        <f t="shared" si="39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0"/>
        <v>0</v>
      </c>
    </row>
    <row r="149" spans="2:16" ht="12.5">
      <c r="B149" s="160" t="str">
        <f t="shared" si="22"/>
        <v/>
      </c>
      <c r="C149" s="473">
        <f>IF(D93="","-",+C148+1)</f>
        <v>2056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7"/>
        <v>0</v>
      </c>
      <c r="G149" s="486">
        <f t="shared" si="38"/>
        <v>0</v>
      </c>
      <c r="H149" s="489">
        <f t="shared" si="35"/>
        <v>0</v>
      </c>
      <c r="I149" s="543">
        <f t="shared" si="36"/>
        <v>0</v>
      </c>
      <c r="J149" s="479">
        <f t="shared" si="39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0"/>
        <v>0</v>
      </c>
    </row>
    <row r="150" spans="2:16" ht="12.5">
      <c r="B150" s="160" t="str">
        <f t="shared" si="22"/>
        <v/>
      </c>
      <c r="C150" s="473">
        <f>IF(D93="","-",+C149+1)</f>
        <v>2057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7"/>
        <v>0</v>
      </c>
      <c r="G150" s="486">
        <f t="shared" si="38"/>
        <v>0</v>
      </c>
      <c r="H150" s="489">
        <f t="shared" si="35"/>
        <v>0</v>
      </c>
      <c r="I150" s="543">
        <f t="shared" si="36"/>
        <v>0</v>
      </c>
      <c r="J150" s="479">
        <f t="shared" si="39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0"/>
        <v>0</v>
      </c>
    </row>
    <row r="151" spans="2:16" ht="12.5">
      <c r="B151" s="160" t="str">
        <f t="shared" si="22"/>
        <v/>
      </c>
      <c r="C151" s="473">
        <f>IF(D93="","-",+C150+1)</f>
        <v>2058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7"/>
        <v>0</v>
      </c>
      <c r="G151" s="486">
        <f t="shared" si="38"/>
        <v>0</v>
      </c>
      <c r="H151" s="489">
        <f t="shared" si="35"/>
        <v>0</v>
      </c>
      <c r="I151" s="543">
        <f t="shared" si="36"/>
        <v>0</v>
      </c>
      <c r="J151" s="479">
        <f t="shared" si="39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0"/>
        <v>0</v>
      </c>
    </row>
    <row r="152" spans="2:16" ht="12.5">
      <c r="B152" s="160" t="str">
        <f t="shared" si="22"/>
        <v/>
      </c>
      <c r="C152" s="473">
        <f>IF(D93="","-",+C151+1)</f>
        <v>2059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7"/>
        <v>0</v>
      </c>
      <c r="G152" s="486">
        <f t="shared" si="38"/>
        <v>0</v>
      </c>
      <c r="H152" s="489">
        <f t="shared" si="35"/>
        <v>0</v>
      </c>
      <c r="I152" s="543">
        <f t="shared" si="36"/>
        <v>0</v>
      </c>
      <c r="J152" s="479">
        <f t="shared" si="39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0"/>
        <v>0</v>
      </c>
    </row>
    <row r="153" spans="2:16" ht="12.5">
      <c r="B153" s="160" t="str">
        <f t="shared" si="22"/>
        <v/>
      </c>
      <c r="C153" s="473">
        <f>IF(D93="","-",+C152+1)</f>
        <v>2060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7"/>
        <v>0</v>
      </c>
      <c r="G153" s="486">
        <f t="shared" si="38"/>
        <v>0</v>
      </c>
      <c r="H153" s="489">
        <f t="shared" si="35"/>
        <v>0</v>
      </c>
      <c r="I153" s="543">
        <f t="shared" si="36"/>
        <v>0</v>
      </c>
      <c r="J153" s="479">
        <f t="shared" si="39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0"/>
        <v>0</v>
      </c>
    </row>
    <row r="154" spans="2:16" ht="13" thickBot="1">
      <c r="B154" s="160" t="str">
        <f t="shared" si="22"/>
        <v/>
      </c>
      <c r="C154" s="490">
        <f>IF(D93="","-",+C153+1)</f>
        <v>2061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7"/>
        <v>0</v>
      </c>
      <c r="G154" s="491">
        <f t="shared" si="38"/>
        <v>0</v>
      </c>
      <c r="H154" s="493">
        <f t="shared" si="35"/>
        <v>0</v>
      </c>
      <c r="I154" s="546">
        <f t="shared" si="36"/>
        <v>0</v>
      </c>
      <c r="J154" s="496">
        <f t="shared" si="39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0"/>
        <v>0</v>
      </c>
    </row>
    <row r="155" spans="2:16" ht="12.5">
      <c r="C155" s="347" t="s">
        <v>77</v>
      </c>
      <c r="D155" s="348"/>
      <c r="E155" s="348">
        <f>SUM(E99:E154)</f>
        <v>387742</v>
      </c>
      <c r="F155" s="348"/>
      <c r="G155" s="348"/>
      <c r="H155" s="348">
        <f>SUM(H99:H154)</f>
        <v>1422011.6578282502</v>
      </c>
      <c r="I155" s="348">
        <f>SUM(I99:I154)</f>
        <v>1422011.6578282502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tabSelected="1" view="pageBreakPreview" topLeftCell="B1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6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170177.34445508715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170177.34445508715</v>
      </c>
      <c r="O6" s="233"/>
      <c r="P6" s="233"/>
    </row>
    <row r="7" spans="1:16" ht="13.5" thickBot="1">
      <c r="C7" s="432" t="s">
        <v>46</v>
      </c>
      <c r="D7" s="565" t="s">
        <v>84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85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1520502</v>
      </c>
      <c r="E10" s="325" t="s">
        <v>51</v>
      </c>
      <c r="F10" s="446"/>
      <c r="G10" s="449"/>
      <c r="H10" s="449"/>
      <c r="I10" s="450">
        <f>+PSO.WS.F.BPU.ATRR.Projected!L19</f>
        <v>2019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4</v>
      </c>
      <c r="E12" s="451" t="s">
        <v>56</v>
      </c>
      <c r="F12" s="449"/>
      <c r="G12" s="195"/>
      <c r="H12" s="195"/>
      <c r="I12" s="455">
        <f>PSO.WS.F.BPU.ATRR.Projected!$F$81</f>
        <v>0.13533541013261485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45</v>
      </c>
      <c r="E13" s="451" t="s">
        <v>59</v>
      </c>
      <c r="F13" s="449"/>
      <c r="G13" s="195"/>
      <c r="H13" s="195"/>
      <c r="I13" s="455">
        <f>IF(G5="",I12,PSO.WS.F.BPU.ATRR.Projected!$F$80)</f>
        <v>0.13533541013261485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33788.933333333334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2008</v>
      </c>
      <c r="D17" s="474">
        <v>1520473</v>
      </c>
      <c r="E17" s="475">
        <v>19125</v>
      </c>
      <c r="F17" s="474">
        <v>1501348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2009</v>
      </c>
      <c r="D18" s="480">
        <v>1501348</v>
      </c>
      <c r="E18" s="481">
        <v>28688</v>
      </c>
      <c r="F18" s="480">
        <v>1472660</v>
      </c>
      <c r="G18" s="481">
        <v>254309</v>
      </c>
      <c r="H18" s="482">
        <v>254309</v>
      </c>
      <c r="I18" s="476">
        <f t="shared" si="0"/>
        <v>0</v>
      </c>
      <c r="J18" s="476"/>
      <c r="K18" s="477">
        <v>254309</v>
      </c>
      <c r="L18" s="479">
        <f t="shared" si="1"/>
        <v>0</v>
      </c>
      <c r="M18" s="477">
        <v>254309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2010</v>
      </c>
      <c r="D19" s="480">
        <v>1472689</v>
      </c>
      <c r="E19" s="481">
        <v>27151.821428571428</v>
      </c>
      <c r="F19" s="480">
        <v>1445537.1785714286</v>
      </c>
      <c r="G19" s="481">
        <v>235737.79751815079</v>
      </c>
      <c r="H19" s="482">
        <v>235737.79751815079</v>
      </c>
      <c r="I19" s="476">
        <f t="shared" si="0"/>
        <v>0</v>
      </c>
      <c r="J19" s="476"/>
      <c r="K19" s="541">
        <f t="shared" ref="K19:K24" si="4">G19</f>
        <v>235737.79751815079</v>
      </c>
      <c r="L19" s="542">
        <f t="shared" si="1"/>
        <v>0</v>
      </c>
      <c r="M19" s="541">
        <f t="shared" ref="M19:M24" si="5">H19</f>
        <v>235737.79751815079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2011</v>
      </c>
      <c r="D20" s="480">
        <v>1445537.1785714286</v>
      </c>
      <c r="E20" s="481">
        <v>29813.764705882353</v>
      </c>
      <c r="F20" s="480">
        <v>1415723.4138655462</v>
      </c>
      <c r="G20" s="481">
        <v>251435.83921239444</v>
      </c>
      <c r="H20" s="482">
        <v>251435.83921239444</v>
      </c>
      <c r="I20" s="476">
        <f t="shared" si="0"/>
        <v>0</v>
      </c>
      <c r="J20" s="476"/>
      <c r="K20" s="477">
        <f t="shared" si="4"/>
        <v>251435.83921239444</v>
      </c>
      <c r="L20" s="551">
        <f t="shared" si="1"/>
        <v>0</v>
      </c>
      <c r="M20" s="477">
        <f t="shared" si="5"/>
        <v>251435.83921239444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IF(D11="","-",+C20+1)</f>
        <v>2012</v>
      </c>
      <c r="D21" s="480">
        <v>1415723.4138655462</v>
      </c>
      <c r="E21" s="481">
        <v>29240.423076923078</v>
      </c>
      <c r="F21" s="480">
        <v>1386482.9907886232</v>
      </c>
      <c r="G21" s="481">
        <v>222248.1918516063</v>
      </c>
      <c r="H21" s="482">
        <v>222248.1918516063</v>
      </c>
      <c r="I21" s="476">
        <f t="shared" si="0"/>
        <v>0</v>
      </c>
      <c r="J21" s="476"/>
      <c r="K21" s="477">
        <f t="shared" si="4"/>
        <v>222248.1918516063</v>
      </c>
      <c r="L21" s="551">
        <f t="shared" si="1"/>
        <v>0</v>
      </c>
      <c r="M21" s="477">
        <f t="shared" si="5"/>
        <v>222248.1918516063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6"/>
        <v/>
      </c>
      <c r="C22" s="473">
        <f>IF(D11="","-",+C21+1)</f>
        <v>2013</v>
      </c>
      <c r="D22" s="480">
        <v>1386482.9907886232</v>
      </c>
      <c r="E22" s="481">
        <v>29240.423076923078</v>
      </c>
      <c r="F22" s="480">
        <v>1357242.5677117002</v>
      </c>
      <c r="G22" s="481">
        <v>223063.83719618269</v>
      </c>
      <c r="H22" s="482">
        <v>223063.83719618269</v>
      </c>
      <c r="I22" s="476">
        <v>0</v>
      </c>
      <c r="J22" s="476"/>
      <c r="K22" s="477">
        <f t="shared" si="4"/>
        <v>223063.83719618269</v>
      </c>
      <c r="L22" s="551">
        <f t="shared" ref="L22:L27" si="7">IF(K22&lt;&gt;0,+G22-K22,0)</f>
        <v>0</v>
      </c>
      <c r="M22" s="477">
        <f t="shared" si="5"/>
        <v>223063.83719618269</v>
      </c>
      <c r="N22" s="479">
        <f t="shared" ref="N22:N27" si="8">IF(M22&lt;&gt;0,+H22-M22,0)</f>
        <v>0</v>
      </c>
      <c r="O22" s="479">
        <f t="shared" ref="O22:O27" si="9">+N22-L22</f>
        <v>0</v>
      </c>
      <c r="P22" s="243"/>
    </row>
    <row r="23" spans="2:16" ht="12.5">
      <c r="B23" s="160" t="str">
        <f t="shared" si="6"/>
        <v/>
      </c>
      <c r="C23" s="473">
        <f>IF(D11="","-",+C22+1)</f>
        <v>2014</v>
      </c>
      <c r="D23" s="480">
        <v>1357242.5677117002</v>
      </c>
      <c r="E23" s="481">
        <v>29240.423076923078</v>
      </c>
      <c r="F23" s="480">
        <v>1328002.1446347772</v>
      </c>
      <c r="G23" s="481">
        <v>212051.56179808528</v>
      </c>
      <c r="H23" s="482">
        <v>212051.56179808528</v>
      </c>
      <c r="I23" s="476">
        <v>0</v>
      </c>
      <c r="J23" s="476"/>
      <c r="K23" s="477">
        <f t="shared" si="4"/>
        <v>212051.56179808528</v>
      </c>
      <c r="L23" s="551">
        <f t="shared" si="7"/>
        <v>0</v>
      </c>
      <c r="M23" s="477">
        <f t="shared" si="5"/>
        <v>212051.56179808528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2015</v>
      </c>
      <c r="D24" s="480">
        <v>1328002.1446347772</v>
      </c>
      <c r="E24" s="481">
        <v>29240.423076923078</v>
      </c>
      <c r="F24" s="480">
        <v>1298761.7215578542</v>
      </c>
      <c r="G24" s="481">
        <v>208302.85337289202</v>
      </c>
      <c r="H24" s="482">
        <v>208302.85337289202</v>
      </c>
      <c r="I24" s="476">
        <v>0</v>
      </c>
      <c r="J24" s="476"/>
      <c r="K24" s="477">
        <f t="shared" si="4"/>
        <v>208302.85337289202</v>
      </c>
      <c r="L24" s="551">
        <f t="shared" si="7"/>
        <v>0</v>
      </c>
      <c r="M24" s="477">
        <f t="shared" si="5"/>
        <v>208302.85337289202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2016</v>
      </c>
      <c r="D25" s="480">
        <v>1298761.7215578542</v>
      </c>
      <c r="E25" s="481">
        <v>29240.423076923078</v>
      </c>
      <c r="F25" s="480">
        <v>1269521.2984809312</v>
      </c>
      <c r="G25" s="481">
        <v>195750.37197477801</v>
      </c>
      <c r="H25" s="482">
        <v>195750.37197477801</v>
      </c>
      <c r="I25" s="476">
        <f t="shared" si="0"/>
        <v>0</v>
      </c>
      <c r="J25" s="476"/>
      <c r="K25" s="477">
        <f>G25</f>
        <v>195750.37197477801</v>
      </c>
      <c r="L25" s="551">
        <f t="shared" si="7"/>
        <v>0</v>
      </c>
      <c r="M25" s="477">
        <f>H25</f>
        <v>195750.37197477801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2017</v>
      </c>
      <c r="D26" s="480">
        <v>1269521.2984809312</v>
      </c>
      <c r="E26" s="481">
        <v>33054.391304347824</v>
      </c>
      <c r="F26" s="480">
        <v>1236466.9071765833</v>
      </c>
      <c r="G26" s="481">
        <v>190407.97943741584</v>
      </c>
      <c r="H26" s="482">
        <v>190407.97943741584</v>
      </c>
      <c r="I26" s="476">
        <f t="shared" si="0"/>
        <v>0</v>
      </c>
      <c r="J26" s="476"/>
      <c r="K26" s="477">
        <f>G26</f>
        <v>190407.97943741584</v>
      </c>
      <c r="L26" s="551">
        <f t="shared" si="7"/>
        <v>0</v>
      </c>
      <c r="M26" s="477">
        <f>H26</f>
        <v>190407.97943741584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2018</v>
      </c>
      <c r="D27" s="480">
        <v>1236466.9071765833</v>
      </c>
      <c r="E27" s="481">
        <v>33788.933333333334</v>
      </c>
      <c r="F27" s="480">
        <v>1202677.97384325</v>
      </c>
      <c r="G27" s="481">
        <v>179843.63692519162</v>
      </c>
      <c r="H27" s="482">
        <v>179843.63692519162</v>
      </c>
      <c r="I27" s="476">
        <f t="shared" si="0"/>
        <v>0</v>
      </c>
      <c r="J27" s="476"/>
      <c r="K27" s="477">
        <f>G27</f>
        <v>179843.63692519162</v>
      </c>
      <c r="L27" s="551">
        <f t="shared" si="7"/>
        <v>0</v>
      </c>
      <c r="M27" s="477">
        <f>H27</f>
        <v>179843.63692519162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6"/>
        <v/>
      </c>
      <c r="C28" s="473">
        <f>IF(D11="","-",+C27+1)</f>
        <v>2019</v>
      </c>
      <c r="D28" s="480">
        <v>1202677.97384325</v>
      </c>
      <c r="E28" s="481">
        <v>38012.550000000003</v>
      </c>
      <c r="F28" s="480">
        <v>1164665.4238432499</v>
      </c>
      <c r="G28" s="481">
        <v>170177.34445508715</v>
      </c>
      <c r="H28" s="482">
        <v>170177.34445508715</v>
      </c>
      <c r="I28" s="476">
        <f t="shared" si="0"/>
        <v>0</v>
      </c>
      <c r="J28" s="476"/>
      <c r="K28" s="477">
        <f>G28</f>
        <v>170177.34445508715</v>
      </c>
      <c r="L28" s="551">
        <f t="shared" ref="L28" si="10">IF(K28&lt;&gt;0,+G28-K28,0)</f>
        <v>0</v>
      </c>
      <c r="M28" s="477">
        <f>H28</f>
        <v>170177.34445508715</v>
      </c>
      <c r="N28" s="479">
        <f t="shared" ref="N28" si="11">IF(M28&lt;&gt;0,+H28-M28,0)</f>
        <v>0</v>
      </c>
      <c r="O28" s="479">
        <f t="shared" ref="O28" si="12">+N28-L28</f>
        <v>0</v>
      </c>
      <c r="P28" s="243"/>
    </row>
    <row r="29" spans="2:16" ht="12.5">
      <c r="B29" s="160" t="str">
        <f t="shared" si="6"/>
        <v/>
      </c>
      <c r="C29" s="473">
        <f>IF(D11="","-",+C28+1)</f>
        <v>2020</v>
      </c>
      <c r="D29" s="486">
        <f>IF(F28+SUM(E$17:E28)=D$10,F28,D$10-SUM(E$17:E28))</f>
        <v>1164665.4238432499</v>
      </c>
      <c r="E29" s="485">
        <f>IF(+I14&lt;F28,I14,D29)</f>
        <v>33788.933333333334</v>
      </c>
      <c r="F29" s="486">
        <f t="shared" ref="F29:F48" si="13">+D29-E29</f>
        <v>1130876.4905099166</v>
      </c>
      <c r="G29" s="487">
        <f t="shared" ref="G29:G72" si="14">+I$12*F29+E29</f>
        <v>186836.56698582502</v>
      </c>
      <c r="H29" s="456">
        <f t="shared" ref="H29:H72" si="15">+I$13*F29+E29</f>
        <v>186836.56698582502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2021</v>
      </c>
      <c r="D30" s="486">
        <f>IF(F29+SUM(E$17:E29)=D$10,F29,D$10-SUM(E$17:E29))</f>
        <v>1130876.4905099166</v>
      </c>
      <c r="E30" s="485">
        <f>IF(+I14&lt;F29,I14,D30)</f>
        <v>33788.933333333334</v>
      </c>
      <c r="F30" s="486">
        <f t="shared" si="13"/>
        <v>1097087.5571765832</v>
      </c>
      <c r="G30" s="487">
        <f t="shared" si="14"/>
        <v>182263.72783521476</v>
      </c>
      <c r="H30" s="456">
        <f t="shared" si="15"/>
        <v>182263.72783521476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2022</v>
      </c>
      <c r="D31" s="486">
        <f>IF(F30+SUM(E$17:E30)=D$10,F30,D$10-SUM(E$17:E30))</f>
        <v>1097087.5571765832</v>
      </c>
      <c r="E31" s="485">
        <f>IF(+I14&lt;F30,I14,D31)</f>
        <v>33788.933333333334</v>
      </c>
      <c r="F31" s="486">
        <f t="shared" si="13"/>
        <v>1063298.6238432499</v>
      </c>
      <c r="G31" s="487">
        <f t="shared" si="14"/>
        <v>177690.88868460455</v>
      </c>
      <c r="H31" s="456">
        <f t="shared" si="15"/>
        <v>177690.88868460455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2023</v>
      </c>
      <c r="D32" s="486">
        <f>IF(F31+SUM(E$17:E31)=D$10,F31,D$10-SUM(E$17:E31))</f>
        <v>1063298.6238432499</v>
      </c>
      <c r="E32" s="485">
        <f>IF(+I14&lt;F31,I14,D32)</f>
        <v>33788.933333333334</v>
      </c>
      <c r="F32" s="486">
        <f t="shared" si="13"/>
        <v>1029509.6905099165</v>
      </c>
      <c r="G32" s="487">
        <f t="shared" si="14"/>
        <v>173118.04953399429</v>
      </c>
      <c r="H32" s="456">
        <f t="shared" si="15"/>
        <v>173118.04953399429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2024</v>
      </c>
      <c r="D33" s="486">
        <f>IF(F32+SUM(E$17:E32)=D$10,F32,D$10-SUM(E$17:E32))</f>
        <v>1029509.6905099165</v>
      </c>
      <c r="E33" s="485">
        <f>IF(+I14&lt;F32,I14,D33)</f>
        <v>33788.933333333334</v>
      </c>
      <c r="F33" s="486">
        <f t="shared" si="13"/>
        <v>995720.75717658317</v>
      </c>
      <c r="G33" s="487">
        <f t="shared" si="14"/>
        <v>168545.21038338402</v>
      </c>
      <c r="H33" s="456">
        <f t="shared" si="15"/>
        <v>168545.21038338402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2025</v>
      </c>
      <c r="D34" s="486">
        <f>IF(F33+SUM(E$17:E33)=D$10,F33,D$10-SUM(E$17:E33))</f>
        <v>995720.75717658317</v>
      </c>
      <c r="E34" s="485">
        <f>IF(+I14&lt;F33,I14,D34)</f>
        <v>33788.933333333334</v>
      </c>
      <c r="F34" s="486">
        <f t="shared" si="13"/>
        <v>961931.82384324982</v>
      </c>
      <c r="G34" s="487">
        <f t="shared" si="14"/>
        <v>163972.37123277376</v>
      </c>
      <c r="H34" s="456">
        <f t="shared" si="15"/>
        <v>163972.37123277376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2026</v>
      </c>
      <c r="D35" s="486">
        <f>IF(F34+SUM(E$17:E34)=D$10,F34,D$10-SUM(E$17:E34))</f>
        <v>961931.82384324982</v>
      </c>
      <c r="E35" s="485">
        <f>IF(+I14&lt;F34,I14,D35)</f>
        <v>33788.933333333334</v>
      </c>
      <c r="F35" s="486">
        <f t="shared" si="13"/>
        <v>928142.89050991647</v>
      </c>
      <c r="G35" s="487">
        <f t="shared" si="14"/>
        <v>159399.53208216353</v>
      </c>
      <c r="H35" s="456">
        <f t="shared" si="15"/>
        <v>159399.53208216353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2027</v>
      </c>
      <c r="D36" s="486">
        <f>IF(F35+SUM(E$17:E35)=D$10,F35,D$10-SUM(E$17:E35))</f>
        <v>928142.89050991647</v>
      </c>
      <c r="E36" s="485">
        <f>IF(+I14&lt;F35,I14,D36)</f>
        <v>33788.933333333334</v>
      </c>
      <c r="F36" s="486">
        <f t="shared" si="13"/>
        <v>894353.95717658312</v>
      </c>
      <c r="G36" s="487">
        <f t="shared" si="14"/>
        <v>154826.69293155329</v>
      </c>
      <c r="H36" s="456">
        <f t="shared" si="15"/>
        <v>154826.69293155329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2028</v>
      </c>
      <c r="D37" s="486">
        <f>IF(F36+SUM(E$17:E36)=D$10,F36,D$10-SUM(E$17:E36))</f>
        <v>894353.95717658312</v>
      </c>
      <c r="E37" s="485">
        <f>IF(+I14&lt;F36,I14,D37)</f>
        <v>33788.933333333334</v>
      </c>
      <c r="F37" s="486">
        <f t="shared" si="13"/>
        <v>860565.02384324977</v>
      </c>
      <c r="G37" s="487">
        <f t="shared" si="14"/>
        <v>150253.85378094303</v>
      </c>
      <c r="H37" s="456">
        <f t="shared" si="15"/>
        <v>150253.85378094303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2029</v>
      </c>
      <c r="D38" s="486">
        <f>IF(F37+SUM(E$17:E37)=D$10,F37,D$10-SUM(E$17:E37))</f>
        <v>860565.02384324977</v>
      </c>
      <c r="E38" s="485">
        <f>IF(+I14&lt;F37,I14,D38)</f>
        <v>33788.933333333334</v>
      </c>
      <c r="F38" s="486">
        <f t="shared" si="13"/>
        <v>826776.09050991642</v>
      </c>
      <c r="G38" s="487">
        <f t="shared" si="14"/>
        <v>145681.01463033276</v>
      </c>
      <c r="H38" s="456">
        <f t="shared" si="15"/>
        <v>145681.01463033276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2030</v>
      </c>
      <c r="D39" s="486">
        <f>IF(F38+SUM(E$17:E38)=D$10,F38,D$10-SUM(E$17:E38))</f>
        <v>826776.09050991642</v>
      </c>
      <c r="E39" s="485">
        <f>IF(+I14&lt;F38,I14,D39)</f>
        <v>33788.933333333334</v>
      </c>
      <c r="F39" s="486">
        <f t="shared" si="13"/>
        <v>792987.15717658307</v>
      </c>
      <c r="G39" s="487">
        <f t="shared" si="14"/>
        <v>141108.17547972253</v>
      </c>
      <c r="H39" s="456">
        <f t="shared" si="15"/>
        <v>141108.17547972253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2031</v>
      </c>
      <c r="D40" s="486">
        <f>IF(F39+SUM(E$17:E39)=D$10,F39,D$10-SUM(E$17:E39))</f>
        <v>792987.15717658307</v>
      </c>
      <c r="E40" s="485">
        <f>IF(+I14&lt;F39,I14,D40)</f>
        <v>33788.933333333334</v>
      </c>
      <c r="F40" s="486">
        <f t="shared" si="13"/>
        <v>759198.22384324973</v>
      </c>
      <c r="G40" s="487">
        <f t="shared" si="14"/>
        <v>136535.33632911227</v>
      </c>
      <c r="H40" s="456">
        <f t="shared" si="15"/>
        <v>136535.33632911227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2032</v>
      </c>
      <c r="D41" s="486">
        <f>IF(F40+SUM(E$17:E40)=D$10,F40,D$10-SUM(E$17:E40))</f>
        <v>759198.22384324973</v>
      </c>
      <c r="E41" s="485">
        <f>IF(+I14&lt;F40,I14,D41)</f>
        <v>33788.933333333334</v>
      </c>
      <c r="F41" s="486">
        <f t="shared" si="13"/>
        <v>725409.29050991638</v>
      </c>
      <c r="G41" s="487">
        <f t="shared" si="14"/>
        <v>131962.49717850203</v>
      </c>
      <c r="H41" s="456">
        <f t="shared" si="15"/>
        <v>131962.49717850203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2033</v>
      </c>
      <c r="D42" s="486">
        <f>IF(F41+SUM(E$17:E41)=D$10,F41,D$10-SUM(E$17:E41))</f>
        <v>725409.29050991638</v>
      </c>
      <c r="E42" s="485">
        <f>IF(+I14&lt;F41,I14,D42)</f>
        <v>33788.933333333334</v>
      </c>
      <c r="F42" s="486">
        <f t="shared" si="13"/>
        <v>691620.35717658303</v>
      </c>
      <c r="G42" s="487">
        <f t="shared" si="14"/>
        <v>127389.65802789177</v>
      </c>
      <c r="H42" s="456">
        <f t="shared" si="15"/>
        <v>127389.65802789177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2034</v>
      </c>
      <c r="D43" s="486">
        <f>IF(F42+SUM(E$17:E42)=D$10,F42,D$10-SUM(E$17:E42))</f>
        <v>691620.35717658303</v>
      </c>
      <c r="E43" s="485">
        <f>IF(+I14&lt;F42,I14,D43)</f>
        <v>33788.933333333334</v>
      </c>
      <c r="F43" s="486">
        <f t="shared" si="13"/>
        <v>657831.42384324968</v>
      </c>
      <c r="G43" s="487">
        <f t="shared" si="14"/>
        <v>122816.81887728152</v>
      </c>
      <c r="H43" s="456">
        <f t="shared" si="15"/>
        <v>122816.81887728152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2035</v>
      </c>
      <c r="D44" s="486">
        <f>IF(F43+SUM(E$17:E43)=D$10,F43,D$10-SUM(E$17:E43))</f>
        <v>657831.42384324968</v>
      </c>
      <c r="E44" s="485">
        <f>IF(+I14&lt;F43,I14,D44)</f>
        <v>33788.933333333334</v>
      </c>
      <c r="F44" s="486">
        <f t="shared" si="13"/>
        <v>624042.49050991633</v>
      </c>
      <c r="G44" s="487">
        <f t="shared" si="14"/>
        <v>118243.97972667127</v>
      </c>
      <c r="H44" s="456">
        <f t="shared" si="15"/>
        <v>118243.97972667127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2036</v>
      </c>
      <c r="D45" s="486">
        <f>IF(F44+SUM(E$17:E44)=D$10,F44,D$10-SUM(E$17:E44))</f>
        <v>624042.49050991633</v>
      </c>
      <c r="E45" s="485">
        <f>IF(+I14&lt;F44,I14,D45)</f>
        <v>33788.933333333334</v>
      </c>
      <c r="F45" s="486">
        <f t="shared" si="13"/>
        <v>590253.55717658298</v>
      </c>
      <c r="G45" s="487">
        <f t="shared" si="14"/>
        <v>113671.14057606102</v>
      </c>
      <c r="H45" s="456">
        <f t="shared" si="15"/>
        <v>113671.14057606102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2037</v>
      </c>
      <c r="D46" s="486">
        <f>IF(F45+SUM(E$17:E45)=D$10,F45,D$10-SUM(E$17:E45))</f>
        <v>590253.55717658298</v>
      </c>
      <c r="E46" s="485">
        <f>IF(+I14&lt;F45,I14,D46)</f>
        <v>33788.933333333334</v>
      </c>
      <c r="F46" s="486">
        <f t="shared" si="13"/>
        <v>556464.62384324963</v>
      </c>
      <c r="G46" s="487">
        <f t="shared" si="14"/>
        <v>109098.30142545077</v>
      </c>
      <c r="H46" s="456">
        <f t="shared" si="15"/>
        <v>109098.30142545077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2038</v>
      </c>
      <c r="D47" s="486">
        <f>IF(F46+SUM(E$17:E46)=D$10,F46,D$10-SUM(E$17:E46))</f>
        <v>556464.62384324963</v>
      </c>
      <c r="E47" s="485">
        <f>IF(+I14&lt;F46,I14,D47)</f>
        <v>33788.933333333334</v>
      </c>
      <c r="F47" s="486">
        <f t="shared" si="13"/>
        <v>522675.69050991628</v>
      </c>
      <c r="G47" s="487">
        <f t="shared" si="14"/>
        <v>104525.46227484052</v>
      </c>
      <c r="H47" s="456">
        <f t="shared" si="15"/>
        <v>104525.46227484052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2039</v>
      </c>
      <c r="D48" s="486">
        <f>IF(F47+SUM(E$17:E47)=D$10,F47,D$10-SUM(E$17:E47))</f>
        <v>522675.69050991628</v>
      </c>
      <c r="E48" s="485">
        <f>IF(+I14&lt;F47,I14,D48)</f>
        <v>33788.933333333334</v>
      </c>
      <c r="F48" s="486">
        <f t="shared" si="13"/>
        <v>488886.75717658293</v>
      </c>
      <c r="G48" s="487">
        <f t="shared" si="14"/>
        <v>99952.623124230275</v>
      </c>
      <c r="H48" s="456">
        <f t="shared" si="15"/>
        <v>99952.623124230275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2040</v>
      </c>
      <c r="D49" s="486">
        <f>IF(F48+SUM(E$17:E48)=D$10,F48,D$10-SUM(E$17:E48))</f>
        <v>488886.75717658293</v>
      </c>
      <c r="E49" s="485">
        <f>IF(+I14&lt;F48,I14,D49)</f>
        <v>33788.933333333334</v>
      </c>
      <c r="F49" s="486">
        <f t="shared" ref="F49:F72" si="16">+D49-E49</f>
        <v>455097.82384324959</v>
      </c>
      <c r="G49" s="487">
        <f t="shared" si="14"/>
        <v>95379.783973620026</v>
      </c>
      <c r="H49" s="456">
        <f t="shared" si="15"/>
        <v>95379.783973620026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2041</v>
      </c>
      <c r="D50" s="486">
        <f>IF(F49+SUM(E$17:E49)=D$10,F49,D$10-SUM(E$17:E49))</f>
        <v>455097.82384324959</v>
      </c>
      <c r="E50" s="485">
        <f>IF(+I14&lt;F49,I14,D50)</f>
        <v>33788.933333333334</v>
      </c>
      <c r="F50" s="486">
        <f t="shared" si="16"/>
        <v>421308.89050991624</v>
      </c>
      <c r="G50" s="487">
        <f t="shared" si="14"/>
        <v>90806.944823009777</v>
      </c>
      <c r="H50" s="456">
        <f t="shared" si="15"/>
        <v>90806.944823009777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2042</v>
      </c>
      <c r="D51" s="486">
        <f>IF(F50+SUM(E$17:E50)=D$10,F50,D$10-SUM(E$17:E50))</f>
        <v>421308.89050991624</v>
      </c>
      <c r="E51" s="485">
        <f>IF(+I14&lt;F50,I14,D51)</f>
        <v>33788.933333333334</v>
      </c>
      <c r="F51" s="486">
        <f t="shared" si="16"/>
        <v>387519.95717658289</v>
      </c>
      <c r="G51" s="487">
        <f t="shared" si="14"/>
        <v>86234.105672399513</v>
      </c>
      <c r="H51" s="456">
        <f t="shared" si="15"/>
        <v>86234.105672399513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2043</v>
      </c>
      <c r="D52" s="486">
        <f>IF(F51+SUM(E$17:E51)=D$10,F51,D$10-SUM(E$17:E51))</f>
        <v>387519.95717658289</v>
      </c>
      <c r="E52" s="485">
        <f>IF(+I14&lt;F51,I14,D52)</f>
        <v>33788.933333333334</v>
      </c>
      <c r="F52" s="486">
        <f t="shared" si="16"/>
        <v>353731.02384324954</v>
      </c>
      <c r="G52" s="487">
        <f t="shared" si="14"/>
        <v>81661.266521789279</v>
      </c>
      <c r="H52" s="456">
        <f t="shared" si="15"/>
        <v>81661.266521789279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2044</v>
      </c>
      <c r="D53" s="486">
        <f>IF(F52+SUM(E$17:E52)=D$10,F52,D$10-SUM(E$17:E52))</f>
        <v>353731.02384324954</v>
      </c>
      <c r="E53" s="485">
        <f>IF(+I14&lt;F52,I14,D53)</f>
        <v>33788.933333333334</v>
      </c>
      <c r="F53" s="486">
        <f t="shared" si="16"/>
        <v>319942.09050991619</v>
      </c>
      <c r="G53" s="487">
        <f t="shared" si="14"/>
        <v>77088.427371179016</v>
      </c>
      <c r="H53" s="456">
        <f t="shared" si="15"/>
        <v>77088.427371179016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2045</v>
      </c>
      <c r="D54" s="486">
        <f>IF(F53+SUM(E$17:E53)=D$10,F53,D$10-SUM(E$17:E53))</f>
        <v>319942.09050991619</v>
      </c>
      <c r="E54" s="485">
        <f>IF(+I14&lt;F53,I14,D54)</f>
        <v>33788.933333333334</v>
      </c>
      <c r="F54" s="486">
        <f t="shared" si="16"/>
        <v>286153.15717658284</v>
      </c>
      <c r="G54" s="487">
        <f t="shared" si="14"/>
        <v>72515.588220568781</v>
      </c>
      <c r="H54" s="456">
        <f t="shared" si="15"/>
        <v>72515.588220568781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2046</v>
      </c>
      <c r="D55" s="486">
        <f>IF(F54+SUM(E$17:E54)=D$10,F54,D$10-SUM(E$17:E54))</f>
        <v>286153.15717658284</v>
      </c>
      <c r="E55" s="485">
        <f>IF(+I14&lt;F54,I14,D55)</f>
        <v>33788.933333333334</v>
      </c>
      <c r="F55" s="486">
        <f t="shared" si="16"/>
        <v>252364.22384324949</v>
      </c>
      <c r="G55" s="487">
        <f t="shared" si="14"/>
        <v>67942.749069958518</v>
      </c>
      <c r="H55" s="456">
        <f t="shared" si="15"/>
        <v>67942.749069958518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2047</v>
      </c>
      <c r="D56" s="486">
        <f>IF(F55+SUM(E$17:E55)=D$10,F55,D$10-SUM(E$17:E55))</f>
        <v>252364.22384324949</v>
      </c>
      <c r="E56" s="485">
        <f>IF(+I14&lt;F55,I14,D56)</f>
        <v>33788.933333333334</v>
      </c>
      <c r="F56" s="486">
        <f t="shared" si="16"/>
        <v>218575.29050991614</v>
      </c>
      <c r="G56" s="487">
        <f t="shared" si="14"/>
        <v>63369.909919348276</v>
      </c>
      <c r="H56" s="456">
        <f t="shared" si="15"/>
        <v>63369.909919348276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2048</v>
      </c>
      <c r="D57" s="486">
        <f>IF(F56+SUM(E$17:E56)=D$10,F56,D$10-SUM(E$17:E56))</f>
        <v>218575.29050991614</v>
      </c>
      <c r="E57" s="485">
        <f>IF(+I14&lt;F56,I14,D57)</f>
        <v>33788.933333333334</v>
      </c>
      <c r="F57" s="486">
        <f t="shared" si="16"/>
        <v>184786.35717658279</v>
      </c>
      <c r="G57" s="487">
        <f t="shared" si="14"/>
        <v>58797.07076873802</v>
      </c>
      <c r="H57" s="456">
        <f t="shared" si="15"/>
        <v>58797.07076873802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2049</v>
      </c>
      <c r="D58" s="486">
        <f>IF(F57+SUM(E$17:E57)=D$10,F57,D$10-SUM(E$17:E57))</f>
        <v>184786.35717658279</v>
      </c>
      <c r="E58" s="485">
        <f>IF(+I14&lt;F57,I14,D58)</f>
        <v>33788.933333333334</v>
      </c>
      <c r="F58" s="486">
        <f t="shared" si="16"/>
        <v>150997.42384324945</v>
      </c>
      <c r="G58" s="487">
        <f t="shared" si="14"/>
        <v>54224.231618127771</v>
      </c>
      <c r="H58" s="456">
        <f t="shared" si="15"/>
        <v>54224.231618127771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2050</v>
      </c>
      <c r="D59" s="486">
        <f>IF(F58+SUM(E$17:E58)=D$10,F58,D$10-SUM(E$17:E58))</f>
        <v>150997.42384324945</v>
      </c>
      <c r="E59" s="485">
        <f>IF(+I14&lt;F58,I14,D59)</f>
        <v>33788.933333333334</v>
      </c>
      <c r="F59" s="486">
        <f t="shared" si="16"/>
        <v>117208.49050991611</v>
      </c>
      <c r="G59" s="487">
        <f t="shared" si="14"/>
        <v>49651.392467517529</v>
      </c>
      <c r="H59" s="456">
        <f t="shared" si="15"/>
        <v>49651.392467517529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2051</v>
      </c>
      <c r="D60" s="486">
        <f>IF(F59+SUM(E$17:E59)=D$10,F59,D$10-SUM(E$17:E59))</f>
        <v>117208.49050991611</v>
      </c>
      <c r="E60" s="485">
        <f>IF(+I14&lt;F59,I14,D60)</f>
        <v>33788.933333333334</v>
      </c>
      <c r="F60" s="486">
        <f t="shared" si="16"/>
        <v>83419.557176582777</v>
      </c>
      <c r="G60" s="487">
        <f t="shared" si="14"/>
        <v>45078.553316907281</v>
      </c>
      <c r="H60" s="456">
        <f t="shared" si="15"/>
        <v>45078.553316907281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2052</v>
      </c>
      <c r="D61" s="486">
        <f>IF(F60+SUM(E$17:E60)=D$10,F60,D$10-SUM(E$17:E60))</f>
        <v>83419.557176582777</v>
      </c>
      <c r="E61" s="485">
        <f>IF(+I14&lt;F60,I14,D61)</f>
        <v>33788.933333333334</v>
      </c>
      <c r="F61" s="486">
        <f t="shared" si="16"/>
        <v>49630.623843249443</v>
      </c>
      <c r="G61" s="489">
        <f t="shared" si="14"/>
        <v>40505.714166297032</v>
      </c>
      <c r="H61" s="456">
        <f t="shared" si="15"/>
        <v>40505.714166297032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2053</v>
      </c>
      <c r="D62" s="486">
        <f>IF(F61+SUM(E$17:E61)=D$10,F61,D$10-SUM(E$17:E61))</f>
        <v>49630.623843249443</v>
      </c>
      <c r="E62" s="485">
        <f>IF(+I14&lt;F61,I14,D62)</f>
        <v>33788.933333333334</v>
      </c>
      <c r="F62" s="486">
        <f t="shared" si="16"/>
        <v>15841.690509916109</v>
      </c>
      <c r="G62" s="489">
        <f t="shared" si="14"/>
        <v>35932.875015686783</v>
      </c>
      <c r="H62" s="456">
        <f t="shared" si="15"/>
        <v>35932.875015686783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2054</v>
      </c>
      <c r="D63" s="486">
        <f>IF(F62+SUM(E$17:E62)=D$10,F62,D$10-SUM(E$17:E62))</f>
        <v>15841.690509916109</v>
      </c>
      <c r="E63" s="485">
        <f>IF(+I14&lt;F62,I14,D63)</f>
        <v>15841.690509916109</v>
      </c>
      <c r="F63" s="486">
        <f t="shared" si="16"/>
        <v>0</v>
      </c>
      <c r="G63" s="489">
        <f t="shared" si="14"/>
        <v>15841.690509916109</v>
      </c>
      <c r="H63" s="456">
        <f t="shared" si="15"/>
        <v>15841.690509916109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2055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9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6"/>
        <v/>
      </c>
      <c r="C65" s="473">
        <f>IF(D11="","-",+C64+1)</f>
        <v>2056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9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6"/>
        <v/>
      </c>
      <c r="C66" s="473">
        <f>IF(D11="","-",+C65+1)</f>
        <v>2057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9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6"/>
        <v/>
      </c>
      <c r="C67" s="473">
        <f>IF(D11="","-",+C66+1)</f>
        <v>2058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9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6"/>
        <v/>
      </c>
      <c r="C68" s="473">
        <f>IF(D11="","-",+C67+1)</f>
        <v>2059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9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6"/>
        <v/>
      </c>
      <c r="C69" s="473">
        <f>IF(D11="","-",+C68+1)</f>
        <v>2060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9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6"/>
        <v/>
      </c>
      <c r="C70" s="473">
        <f>IF(D11="","-",+C69+1)</f>
        <v>2061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9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6"/>
        <v/>
      </c>
      <c r="C71" s="473">
        <f>IF(D11="","-",+C70+1)</f>
        <v>2062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9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2063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3">
        <f t="shared" si="14"/>
        <v>0</v>
      </c>
      <c r="H72" s="436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1520502</v>
      </c>
      <c r="F73" s="348"/>
      <c r="G73" s="348">
        <f>SUM(G17:G72)</f>
        <v>6146250.6182774007</v>
      </c>
      <c r="H73" s="348">
        <f>SUM(H17:H72)</f>
        <v>6146250.6182774007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6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2019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170177.34445508715</v>
      </c>
      <c r="N87" s="509">
        <f>IF(J92&lt;D11,0,VLOOKUP(J92,C17:O72,11))</f>
        <v>170177.34445508715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158573.89397118561</v>
      </c>
      <c r="N88" s="513">
        <f>IF(J92&lt;D11,0,VLOOKUP(J92,C99:P154,7))</f>
        <v>158573.89397118561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Pryor Junction 138/69 Upgrade Transf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-11603.450483901543</v>
      </c>
      <c r="N89" s="518">
        <f>+N88-N87</f>
        <v>-11603.450483901543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TP2006090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1520502</v>
      </c>
      <c r="E92" s="312" t="s">
        <v>94</v>
      </c>
      <c r="H92" s="449"/>
      <c r="I92" s="449"/>
      <c r="J92" s="450">
        <f>+'PSO.WS.G.BPU.ATRR.True-up'!M16</f>
        <v>2019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4</v>
      </c>
      <c r="E94" s="451" t="s">
        <v>56</v>
      </c>
      <c r="F94" s="449"/>
      <c r="G94" s="449"/>
      <c r="J94" s="455">
        <f>'PSO.WS.G.BPU.ATRR.True-up'!$F$81</f>
        <v>0.10311402608063032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41</v>
      </c>
      <c r="E95" s="451" t="s">
        <v>59</v>
      </c>
      <c r="F95" s="449"/>
      <c r="G95" s="449"/>
      <c r="J95" s="455">
        <f>IF(H87="",J94,'PSO.WS.G.BPU.ATRR.True-up'!$F$80)</f>
        <v>0.10311402608063032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37085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101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2008</v>
      </c>
      <c r="D99" s="474">
        <v>0</v>
      </c>
      <c r="E99" s="481">
        <v>19125</v>
      </c>
      <c r="F99" s="480">
        <v>1501348</v>
      </c>
      <c r="G99" s="538">
        <v>750764</v>
      </c>
      <c r="H99" s="539">
        <v>138367</v>
      </c>
      <c r="I99" s="540">
        <v>138367</v>
      </c>
      <c r="J99" s="479">
        <f t="shared" ref="J99:J130" si="21">+I99-H99</f>
        <v>0</v>
      </c>
      <c r="K99" s="479"/>
      <c r="L99" s="555">
        <v>138367</v>
      </c>
      <c r="M99" s="478">
        <f t="shared" ref="M99:M130" si="22">IF(L99&lt;&gt;0,+H99-L99,0)</f>
        <v>0</v>
      </c>
      <c r="N99" s="555">
        <v>138367</v>
      </c>
      <c r="O99" s="478">
        <f t="shared" ref="O99:O130" si="23">IF(N99&lt;&gt;0,+I99-N99,0)</f>
        <v>0</v>
      </c>
      <c r="P99" s="478">
        <f t="shared" ref="P99:P130" si="24">+O99-M99</f>
        <v>0</v>
      </c>
    </row>
    <row r="100" spans="1:16" ht="12.5">
      <c r="B100" s="160" t="str">
        <f>IF(D100=F99,"","IU")</f>
        <v>IU</v>
      </c>
      <c r="C100" s="473">
        <f>IF(D93="","-",+C99+1)</f>
        <v>2009</v>
      </c>
      <c r="D100" s="474">
        <v>1501377</v>
      </c>
      <c r="E100" s="481">
        <v>27152</v>
      </c>
      <c r="F100" s="480">
        <v>1474225</v>
      </c>
      <c r="G100" s="480">
        <v>1487801</v>
      </c>
      <c r="H100" s="481">
        <v>244680.82784018715</v>
      </c>
      <c r="I100" s="482">
        <v>244680.82784018715</v>
      </c>
      <c r="J100" s="479">
        <f t="shared" si="21"/>
        <v>0</v>
      </c>
      <c r="K100" s="479"/>
      <c r="L100" s="541">
        <f t="shared" ref="L100:L105" si="25">H100</f>
        <v>244680.82784018715</v>
      </c>
      <c r="M100" s="542">
        <f t="shared" si="22"/>
        <v>0</v>
      </c>
      <c r="N100" s="541">
        <f t="shared" ref="N100:N105" si="26">I100</f>
        <v>244680.82784018715</v>
      </c>
      <c r="O100" s="479">
        <f t="shared" si="23"/>
        <v>0</v>
      </c>
      <c r="P100" s="479">
        <f t="shared" si="24"/>
        <v>0</v>
      </c>
    </row>
    <row r="101" spans="1:16" ht="12.5">
      <c r="B101" s="160" t="str">
        <f t="shared" ref="B101:B154" si="27">IF(D101=F100,"","IU")</f>
        <v/>
      </c>
      <c r="C101" s="473">
        <f>IF(D93="","-",+C100+1)</f>
        <v>2010</v>
      </c>
      <c r="D101" s="474">
        <v>1474225</v>
      </c>
      <c r="E101" s="481">
        <v>29814</v>
      </c>
      <c r="F101" s="480">
        <v>1444411</v>
      </c>
      <c r="G101" s="480">
        <v>1459318</v>
      </c>
      <c r="H101" s="481">
        <v>264494.5477733505</v>
      </c>
      <c r="I101" s="482">
        <v>264494.5477733505</v>
      </c>
      <c r="J101" s="479">
        <f t="shared" si="21"/>
        <v>0</v>
      </c>
      <c r="K101" s="479"/>
      <c r="L101" s="541">
        <f t="shared" si="25"/>
        <v>264494.5477733505</v>
      </c>
      <c r="M101" s="542">
        <f t="shared" si="22"/>
        <v>0</v>
      </c>
      <c r="N101" s="541">
        <f t="shared" si="26"/>
        <v>264494.5477733505</v>
      </c>
      <c r="O101" s="479">
        <f t="shared" si="23"/>
        <v>0</v>
      </c>
      <c r="P101" s="479">
        <f t="shared" si="24"/>
        <v>0</v>
      </c>
    </row>
    <row r="102" spans="1:16" ht="12.5">
      <c r="B102" s="160" t="str">
        <f t="shared" si="27"/>
        <v/>
      </c>
      <c r="C102" s="473">
        <f>IF(D93="","-",+C101+1)</f>
        <v>2011</v>
      </c>
      <c r="D102" s="474">
        <v>1444411</v>
      </c>
      <c r="E102" s="481">
        <v>29240</v>
      </c>
      <c r="F102" s="480">
        <v>1415171</v>
      </c>
      <c r="G102" s="480">
        <v>1429791</v>
      </c>
      <c r="H102" s="481">
        <v>229143.9952359481</v>
      </c>
      <c r="I102" s="482">
        <v>229143.9952359481</v>
      </c>
      <c r="J102" s="479">
        <f t="shared" si="21"/>
        <v>0</v>
      </c>
      <c r="K102" s="479"/>
      <c r="L102" s="541">
        <f t="shared" si="25"/>
        <v>229143.9952359481</v>
      </c>
      <c r="M102" s="542">
        <f t="shared" si="22"/>
        <v>0</v>
      </c>
      <c r="N102" s="541">
        <f t="shared" si="26"/>
        <v>229143.9952359481</v>
      </c>
      <c r="O102" s="479">
        <f t="shared" si="23"/>
        <v>0</v>
      </c>
      <c r="P102" s="479">
        <f t="shared" si="24"/>
        <v>0</v>
      </c>
    </row>
    <row r="103" spans="1:16" ht="12.5">
      <c r="B103" s="160" t="str">
        <f t="shared" si="27"/>
        <v/>
      </c>
      <c r="C103" s="473">
        <f>IF(D93="","-",+C102+1)</f>
        <v>2012</v>
      </c>
      <c r="D103" s="474">
        <v>1415171</v>
      </c>
      <c r="E103" s="481">
        <v>29240</v>
      </c>
      <c r="F103" s="480">
        <v>1385931</v>
      </c>
      <c r="G103" s="480">
        <v>1400551</v>
      </c>
      <c r="H103" s="481">
        <v>230716.93888695308</v>
      </c>
      <c r="I103" s="482">
        <v>230716.93888695308</v>
      </c>
      <c r="J103" s="479">
        <v>0</v>
      </c>
      <c r="K103" s="479"/>
      <c r="L103" s="541">
        <f t="shared" si="25"/>
        <v>230716.93888695308</v>
      </c>
      <c r="M103" s="542">
        <f t="shared" ref="M103:M108" si="28">IF(L103&lt;&gt;0,+H103-L103,0)</f>
        <v>0</v>
      </c>
      <c r="N103" s="541">
        <f t="shared" si="26"/>
        <v>230716.93888695308</v>
      </c>
      <c r="O103" s="479">
        <f t="shared" ref="O103:O108" si="29">IF(N103&lt;&gt;0,+I103-N103,0)</f>
        <v>0</v>
      </c>
      <c r="P103" s="479">
        <f t="shared" ref="P103:P108" si="30">+O103-M103</f>
        <v>0</v>
      </c>
    </row>
    <row r="104" spans="1:16" ht="12.5">
      <c r="B104" s="160" t="str">
        <f t="shared" si="27"/>
        <v/>
      </c>
      <c r="C104" s="473">
        <f>IF(D93="","-",+C103+1)</f>
        <v>2013</v>
      </c>
      <c r="D104" s="474">
        <v>1385931</v>
      </c>
      <c r="E104" s="481">
        <v>29240</v>
      </c>
      <c r="F104" s="480">
        <v>1356691</v>
      </c>
      <c r="G104" s="480">
        <v>1371311</v>
      </c>
      <c r="H104" s="481">
        <v>226625.94850487544</v>
      </c>
      <c r="I104" s="482">
        <v>226625.94850487544</v>
      </c>
      <c r="J104" s="479">
        <v>0</v>
      </c>
      <c r="K104" s="479"/>
      <c r="L104" s="541">
        <f t="shared" si="25"/>
        <v>226625.94850487544</v>
      </c>
      <c r="M104" s="542">
        <f t="shared" si="28"/>
        <v>0</v>
      </c>
      <c r="N104" s="541">
        <f t="shared" si="26"/>
        <v>226625.94850487544</v>
      </c>
      <c r="O104" s="479">
        <f t="shared" si="29"/>
        <v>0</v>
      </c>
      <c r="P104" s="479">
        <f t="shared" si="30"/>
        <v>0</v>
      </c>
    </row>
    <row r="105" spans="1:16" ht="12.5">
      <c r="B105" s="160" t="str">
        <f t="shared" si="27"/>
        <v/>
      </c>
      <c r="C105" s="473">
        <f>IF(D93="","-",+C104+1)</f>
        <v>2014</v>
      </c>
      <c r="D105" s="474">
        <v>1356691</v>
      </c>
      <c r="E105" s="481">
        <v>29240</v>
      </c>
      <c r="F105" s="480">
        <v>1327451</v>
      </c>
      <c r="G105" s="480">
        <v>1342071</v>
      </c>
      <c r="H105" s="481">
        <v>217929.69653942893</v>
      </c>
      <c r="I105" s="482">
        <v>217929.69653942893</v>
      </c>
      <c r="J105" s="479">
        <v>0</v>
      </c>
      <c r="K105" s="479"/>
      <c r="L105" s="541">
        <f t="shared" si="25"/>
        <v>217929.69653942893</v>
      </c>
      <c r="M105" s="542">
        <f t="shared" si="28"/>
        <v>0</v>
      </c>
      <c r="N105" s="541">
        <f t="shared" si="26"/>
        <v>217929.69653942893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7"/>
        <v/>
      </c>
      <c r="C106" s="473">
        <f>IF(D93="","-",+C105+1)</f>
        <v>2015</v>
      </c>
      <c r="D106" s="474">
        <v>1327451</v>
      </c>
      <c r="E106" s="481">
        <v>29240</v>
      </c>
      <c r="F106" s="480">
        <v>1298211</v>
      </c>
      <c r="G106" s="480">
        <v>1312831</v>
      </c>
      <c r="H106" s="481">
        <v>208365.23426858318</v>
      </c>
      <c r="I106" s="482">
        <v>208365.23426858318</v>
      </c>
      <c r="J106" s="479">
        <f t="shared" si="21"/>
        <v>0</v>
      </c>
      <c r="K106" s="479"/>
      <c r="L106" s="541">
        <f>H106</f>
        <v>208365.23426858318</v>
      </c>
      <c r="M106" s="542">
        <f t="shared" si="28"/>
        <v>0</v>
      </c>
      <c r="N106" s="541">
        <f>I106</f>
        <v>208365.23426858318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7"/>
        <v/>
      </c>
      <c r="C107" s="473">
        <f>IF(D93="","-",+C106+1)</f>
        <v>2016</v>
      </c>
      <c r="D107" s="474">
        <v>1298211</v>
      </c>
      <c r="E107" s="481">
        <v>33054</v>
      </c>
      <c r="F107" s="480">
        <v>1265157</v>
      </c>
      <c r="G107" s="480">
        <v>1281684</v>
      </c>
      <c r="H107" s="481">
        <v>198283.25268027262</v>
      </c>
      <c r="I107" s="482">
        <v>198283.25268027262</v>
      </c>
      <c r="J107" s="479">
        <f t="shared" si="21"/>
        <v>0</v>
      </c>
      <c r="K107" s="479"/>
      <c r="L107" s="541">
        <f>H107</f>
        <v>198283.25268027262</v>
      </c>
      <c r="M107" s="542">
        <f t="shared" si="28"/>
        <v>0</v>
      </c>
      <c r="N107" s="541">
        <f>I107</f>
        <v>198283.25268027262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7"/>
        <v/>
      </c>
      <c r="C108" s="473">
        <f>IF(D93="","-",+C107+1)</f>
        <v>2017</v>
      </c>
      <c r="D108" s="474">
        <v>1265157</v>
      </c>
      <c r="E108" s="481">
        <v>33054</v>
      </c>
      <c r="F108" s="480">
        <v>1232103</v>
      </c>
      <c r="G108" s="480">
        <v>1248630</v>
      </c>
      <c r="H108" s="481">
        <v>191445.86392166355</v>
      </c>
      <c r="I108" s="482">
        <v>191445.86392166355</v>
      </c>
      <c r="J108" s="479">
        <f t="shared" si="21"/>
        <v>0</v>
      </c>
      <c r="K108" s="479"/>
      <c r="L108" s="541">
        <f>H108</f>
        <v>191445.86392166355</v>
      </c>
      <c r="M108" s="542">
        <f t="shared" si="28"/>
        <v>0</v>
      </c>
      <c r="N108" s="541">
        <f>I108</f>
        <v>191445.86392166355</v>
      </c>
      <c r="O108" s="479">
        <f t="shared" si="29"/>
        <v>0</v>
      </c>
      <c r="P108" s="479">
        <f t="shared" si="30"/>
        <v>0</v>
      </c>
    </row>
    <row r="109" spans="1:16" ht="12.5">
      <c r="B109" s="160" t="str">
        <f t="shared" si="27"/>
        <v/>
      </c>
      <c r="C109" s="473">
        <f>IF(D93="","-",+C108+1)</f>
        <v>2018</v>
      </c>
      <c r="D109" s="474">
        <v>1232103</v>
      </c>
      <c r="E109" s="481">
        <v>35361</v>
      </c>
      <c r="F109" s="480">
        <v>1196742</v>
      </c>
      <c r="G109" s="480">
        <v>1214422.5</v>
      </c>
      <c r="H109" s="481">
        <v>160125.3839048628</v>
      </c>
      <c r="I109" s="482">
        <v>160125.3839048628</v>
      </c>
      <c r="J109" s="479">
        <f t="shared" si="21"/>
        <v>0</v>
      </c>
      <c r="K109" s="479"/>
      <c r="L109" s="541">
        <f>H109</f>
        <v>160125.3839048628</v>
      </c>
      <c r="M109" s="542">
        <f t="shared" ref="M109" si="31">IF(L109&lt;&gt;0,+H109-L109,0)</f>
        <v>0</v>
      </c>
      <c r="N109" s="541">
        <f>I109</f>
        <v>160125.3839048628</v>
      </c>
      <c r="O109" s="479">
        <f t="shared" ref="O109" si="32">IF(N109&lt;&gt;0,+I109-N109,0)</f>
        <v>0</v>
      </c>
      <c r="P109" s="479">
        <f t="shared" ref="P109" si="33">+O109-M109</f>
        <v>0</v>
      </c>
    </row>
    <row r="110" spans="1:16" ht="12.5">
      <c r="B110" s="160" t="str">
        <f t="shared" si="27"/>
        <v/>
      </c>
      <c r="C110" s="473">
        <f>IF(D93="","-",+C109+1)</f>
        <v>2019</v>
      </c>
      <c r="D110" s="347">
        <f>IF(F109+SUM(E$99:E109)=D$92,F109,D$92-SUM(E$99:E109))</f>
        <v>1196742</v>
      </c>
      <c r="E110" s="487">
        <f>IF(+J96&lt;F109,J96,D110)</f>
        <v>37085</v>
      </c>
      <c r="F110" s="486">
        <f t="shared" ref="F110:F130" si="34">+D110-E110</f>
        <v>1159657</v>
      </c>
      <c r="G110" s="486">
        <f t="shared" ref="G110:G130" si="35">+(F110+D110)/2</f>
        <v>1178199.5</v>
      </c>
      <c r="H110" s="489">
        <f t="shared" ref="H110:H154" si="36">+J$94*G110+E110</f>
        <v>158573.89397118561</v>
      </c>
      <c r="I110" s="543">
        <f t="shared" ref="I110:I154" si="37">+J$95*G110+E110</f>
        <v>158573.89397118561</v>
      </c>
      <c r="J110" s="479">
        <f t="shared" si="21"/>
        <v>0</v>
      </c>
      <c r="K110" s="479"/>
      <c r="L110" s="488"/>
      <c r="M110" s="479">
        <f t="shared" si="22"/>
        <v>0</v>
      </c>
      <c r="N110" s="488"/>
      <c r="O110" s="479">
        <f t="shared" si="23"/>
        <v>0</v>
      </c>
      <c r="P110" s="479">
        <f t="shared" si="24"/>
        <v>0</v>
      </c>
    </row>
    <row r="111" spans="1:16" ht="12.5">
      <c r="B111" s="160" t="str">
        <f t="shared" si="27"/>
        <v/>
      </c>
      <c r="C111" s="473">
        <f>IF(D93="","-",+C110+1)</f>
        <v>2020</v>
      </c>
      <c r="D111" s="347">
        <f>IF(F110+SUM(E$99:E110)=D$92,F110,D$92-SUM(E$99:E110))</f>
        <v>1159657</v>
      </c>
      <c r="E111" s="487">
        <f>IF(+J96&lt;F110,J96,D111)</f>
        <v>37085</v>
      </c>
      <c r="F111" s="486">
        <f t="shared" si="34"/>
        <v>1122572</v>
      </c>
      <c r="G111" s="486">
        <f t="shared" si="35"/>
        <v>1141114.5</v>
      </c>
      <c r="H111" s="489">
        <f t="shared" si="36"/>
        <v>154749.91031398543</v>
      </c>
      <c r="I111" s="543">
        <f t="shared" si="37"/>
        <v>154749.91031398543</v>
      </c>
      <c r="J111" s="479">
        <f t="shared" si="21"/>
        <v>0</v>
      </c>
      <c r="K111" s="479"/>
      <c r="L111" s="488"/>
      <c r="M111" s="479">
        <f t="shared" si="22"/>
        <v>0</v>
      </c>
      <c r="N111" s="488"/>
      <c r="O111" s="479">
        <f t="shared" si="23"/>
        <v>0</v>
      </c>
      <c r="P111" s="479">
        <f t="shared" si="24"/>
        <v>0</v>
      </c>
    </row>
    <row r="112" spans="1:16" ht="12.5">
      <c r="B112" s="160" t="str">
        <f t="shared" si="27"/>
        <v/>
      </c>
      <c r="C112" s="473">
        <f>IF(D93="","-",+C111+1)</f>
        <v>2021</v>
      </c>
      <c r="D112" s="347">
        <f>IF(F111+SUM(E$99:E111)=D$92,F111,D$92-SUM(E$99:E111))</f>
        <v>1122572</v>
      </c>
      <c r="E112" s="487">
        <f>IF(+J96&lt;F111,J96,D112)</f>
        <v>37085</v>
      </c>
      <c r="F112" s="486">
        <f t="shared" si="34"/>
        <v>1085487</v>
      </c>
      <c r="G112" s="486">
        <f t="shared" si="35"/>
        <v>1104029.5</v>
      </c>
      <c r="H112" s="489">
        <f t="shared" si="36"/>
        <v>150925.92665678525</v>
      </c>
      <c r="I112" s="543">
        <f t="shared" si="37"/>
        <v>150925.92665678525</v>
      </c>
      <c r="J112" s="479">
        <f t="shared" si="21"/>
        <v>0</v>
      </c>
      <c r="K112" s="479"/>
      <c r="L112" s="488"/>
      <c r="M112" s="479">
        <f t="shared" si="22"/>
        <v>0</v>
      </c>
      <c r="N112" s="488"/>
      <c r="O112" s="479">
        <f t="shared" si="23"/>
        <v>0</v>
      </c>
      <c r="P112" s="479">
        <f t="shared" si="24"/>
        <v>0</v>
      </c>
    </row>
    <row r="113" spans="2:16" ht="12.5">
      <c r="B113" s="160" t="str">
        <f t="shared" si="27"/>
        <v/>
      </c>
      <c r="C113" s="473">
        <f>IF(D93="","-",+C112+1)</f>
        <v>2022</v>
      </c>
      <c r="D113" s="347">
        <f>IF(F112+SUM(E$99:E112)=D$92,F112,D$92-SUM(E$99:E112))</f>
        <v>1085487</v>
      </c>
      <c r="E113" s="487">
        <f>IF(+J96&lt;F112,J96,D113)</f>
        <v>37085</v>
      </c>
      <c r="F113" s="486">
        <f t="shared" si="34"/>
        <v>1048402</v>
      </c>
      <c r="G113" s="486">
        <f t="shared" si="35"/>
        <v>1066944.5</v>
      </c>
      <c r="H113" s="489">
        <f t="shared" si="36"/>
        <v>147101.94299958507</v>
      </c>
      <c r="I113" s="543">
        <f t="shared" si="37"/>
        <v>147101.94299958507</v>
      </c>
      <c r="J113" s="479">
        <f t="shared" si="21"/>
        <v>0</v>
      </c>
      <c r="K113" s="479"/>
      <c r="L113" s="488"/>
      <c r="M113" s="479">
        <f t="shared" si="22"/>
        <v>0</v>
      </c>
      <c r="N113" s="488"/>
      <c r="O113" s="479">
        <f t="shared" si="23"/>
        <v>0</v>
      </c>
      <c r="P113" s="479">
        <f t="shared" si="24"/>
        <v>0</v>
      </c>
    </row>
    <row r="114" spans="2:16" ht="12.5">
      <c r="B114" s="160" t="str">
        <f t="shared" si="27"/>
        <v/>
      </c>
      <c r="C114" s="473">
        <f>IF(D93="","-",+C113+1)</f>
        <v>2023</v>
      </c>
      <c r="D114" s="347">
        <f>IF(F113+SUM(E$99:E113)=D$92,F113,D$92-SUM(E$99:E113))</f>
        <v>1048402</v>
      </c>
      <c r="E114" s="487">
        <f>IF(+J96&lt;F113,J96,D114)</f>
        <v>37085</v>
      </c>
      <c r="F114" s="486">
        <f t="shared" si="34"/>
        <v>1011317</v>
      </c>
      <c r="G114" s="486">
        <f t="shared" si="35"/>
        <v>1029859.5</v>
      </c>
      <c r="H114" s="489">
        <f t="shared" si="36"/>
        <v>143277.95934238489</v>
      </c>
      <c r="I114" s="543">
        <f t="shared" si="37"/>
        <v>143277.95934238489</v>
      </c>
      <c r="J114" s="479">
        <f t="shared" si="21"/>
        <v>0</v>
      </c>
      <c r="K114" s="479"/>
      <c r="L114" s="488"/>
      <c r="M114" s="479">
        <f t="shared" si="22"/>
        <v>0</v>
      </c>
      <c r="N114" s="488"/>
      <c r="O114" s="479">
        <f t="shared" si="23"/>
        <v>0</v>
      </c>
      <c r="P114" s="479">
        <f t="shared" si="24"/>
        <v>0</v>
      </c>
    </row>
    <row r="115" spans="2:16" ht="12.5">
      <c r="B115" s="160" t="str">
        <f t="shared" si="27"/>
        <v/>
      </c>
      <c r="C115" s="473">
        <f>IF(D93="","-",+C114+1)</f>
        <v>2024</v>
      </c>
      <c r="D115" s="347">
        <f>IF(F114+SUM(E$99:E114)=D$92,F114,D$92-SUM(E$99:E114))</f>
        <v>1011317</v>
      </c>
      <c r="E115" s="487">
        <f>IF(+J96&lt;F114,J96,D115)</f>
        <v>37085</v>
      </c>
      <c r="F115" s="486">
        <f t="shared" si="34"/>
        <v>974232</v>
      </c>
      <c r="G115" s="486">
        <f t="shared" si="35"/>
        <v>992774.5</v>
      </c>
      <c r="H115" s="489">
        <f t="shared" si="36"/>
        <v>139453.97568518471</v>
      </c>
      <c r="I115" s="543">
        <f t="shared" si="37"/>
        <v>139453.97568518471</v>
      </c>
      <c r="J115" s="479">
        <f t="shared" si="21"/>
        <v>0</v>
      </c>
      <c r="K115" s="479"/>
      <c r="L115" s="488"/>
      <c r="M115" s="479">
        <f t="shared" si="22"/>
        <v>0</v>
      </c>
      <c r="N115" s="488"/>
      <c r="O115" s="479">
        <f t="shared" si="23"/>
        <v>0</v>
      </c>
      <c r="P115" s="479">
        <f t="shared" si="24"/>
        <v>0</v>
      </c>
    </row>
    <row r="116" spans="2:16" ht="12.5">
      <c r="B116" s="160" t="str">
        <f t="shared" si="27"/>
        <v/>
      </c>
      <c r="C116" s="473">
        <f>IF(D93="","-",+C115+1)</f>
        <v>2025</v>
      </c>
      <c r="D116" s="347">
        <f>IF(F115+SUM(E$99:E115)=D$92,F115,D$92-SUM(E$99:E115))</f>
        <v>974232</v>
      </c>
      <c r="E116" s="487">
        <f>IF(+J96&lt;F115,J96,D116)</f>
        <v>37085</v>
      </c>
      <c r="F116" s="486">
        <f t="shared" si="34"/>
        <v>937147</v>
      </c>
      <c r="G116" s="486">
        <f t="shared" si="35"/>
        <v>955689.5</v>
      </c>
      <c r="H116" s="489">
        <f t="shared" si="36"/>
        <v>135629.99202798455</v>
      </c>
      <c r="I116" s="543">
        <f t="shared" si="37"/>
        <v>135629.99202798455</v>
      </c>
      <c r="J116" s="479">
        <f t="shared" si="21"/>
        <v>0</v>
      </c>
      <c r="K116" s="479"/>
      <c r="L116" s="488"/>
      <c r="M116" s="479">
        <f t="shared" si="22"/>
        <v>0</v>
      </c>
      <c r="N116" s="488"/>
      <c r="O116" s="479">
        <f t="shared" si="23"/>
        <v>0</v>
      </c>
      <c r="P116" s="479">
        <f t="shared" si="24"/>
        <v>0</v>
      </c>
    </row>
    <row r="117" spans="2:16" ht="12.5">
      <c r="B117" s="160" t="str">
        <f t="shared" si="27"/>
        <v/>
      </c>
      <c r="C117" s="473">
        <f>IF(D93="","-",+C116+1)</f>
        <v>2026</v>
      </c>
      <c r="D117" s="347">
        <f>IF(F116+SUM(E$99:E116)=D$92,F116,D$92-SUM(E$99:E116))</f>
        <v>937147</v>
      </c>
      <c r="E117" s="487">
        <f>IF(+J96&lt;F116,J96,D117)</f>
        <v>37085</v>
      </c>
      <c r="F117" s="486">
        <f t="shared" si="34"/>
        <v>900062</v>
      </c>
      <c r="G117" s="486">
        <f t="shared" si="35"/>
        <v>918604.5</v>
      </c>
      <c r="H117" s="489">
        <f t="shared" si="36"/>
        <v>131806.00837078437</v>
      </c>
      <c r="I117" s="543">
        <f t="shared" si="37"/>
        <v>131806.00837078437</v>
      </c>
      <c r="J117" s="479">
        <f t="shared" si="21"/>
        <v>0</v>
      </c>
      <c r="K117" s="479"/>
      <c r="L117" s="488"/>
      <c r="M117" s="479">
        <f t="shared" si="22"/>
        <v>0</v>
      </c>
      <c r="N117" s="488"/>
      <c r="O117" s="479">
        <f t="shared" si="23"/>
        <v>0</v>
      </c>
      <c r="P117" s="479">
        <f t="shared" si="24"/>
        <v>0</v>
      </c>
    </row>
    <row r="118" spans="2:16" ht="12.5">
      <c r="B118" s="160" t="str">
        <f t="shared" si="27"/>
        <v/>
      </c>
      <c r="C118" s="473">
        <f>IF(D93="","-",+C117+1)</f>
        <v>2027</v>
      </c>
      <c r="D118" s="347">
        <f>IF(F117+SUM(E$99:E117)=D$92,F117,D$92-SUM(E$99:E117))</f>
        <v>900062</v>
      </c>
      <c r="E118" s="487">
        <f>IF(+J96&lt;F117,J96,D118)</f>
        <v>37085</v>
      </c>
      <c r="F118" s="486">
        <f t="shared" si="34"/>
        <v>862977</v>
      </c>
      <c r="G118" s="486">
        <f t="shared" si="35"/>
        <v>881519.5</v>
      </c>
      <c r="H118" s="489">
        <f t="shared" si="36"/>
        <v>127982.02471358419</v>
      </c>
      <c r="I118" s="543">
        <f t="shared" si="37"/>
        <v>127982.02471358419</v>
      </c>
      <c r="J118" s="479">
        <f t="shared" si="21"/>
        <v>0</v>
      </c>
      <c r="K118" s="479"/>
      <c r="L118" s="488"/>
      <c r="M118" s="479">
        <f t="shared" si="22"/>
        <v>0</v>
      </c>
      <c r="N118" s="488"/>
      <c r="O118" s="479">
        <f t="shared" si="23"/>
        <v>0</v>
      </c>
      <c r="P118" s="479">
        <f t="shared" si="24"/>
        <v>0</v>
      </c>
    </row>
    <row r="119" spans="2:16" ht="12.5">
      <c r="B119" s="160" t="str">
        <f t="shared" si="27"/>
        <v/>
      </c>
      <c r="C119" s="473">
        <f>IF(D93="","-",+C118+1)</f>
        <v>2028</v>
      </c>
      <c r="D119" s="347">
        <f>IF(F118+SUM(E$99:E118)=D$92,F118,D$92-SUM(E$99:E118))</f>
        <v>862977</v>
      </c>
      <c r="E119" s="487">
        <f>IF(+J96&lt;F118,J96,D119)</f>
        <v>37085</v>
      </c>
      <c r="F119" s="486">
        <f t="shared" si="34"/>
        <v>825892</v>
      </c>
      <c r="G119" s="486">
        <f t="shared" si="35"/>
        <v>844434.5</v>
      </c>
      <c r="H119" s="489">
        <f t="shared" si="36"/>
        <v>124158.04105638403</v>
      </c>
      <c r="I119" s="543">
        <f t="shared" si="37"/>
        <v>124158.04105638403</v>
      </c>
      <c r="J119" s="479">
        <f t="shared" si="21"/>
        <v>0</v>
      </c>
      <c r="K119" s="479"/>
      <c r="L119" s="488"/>
      <c r="M119" s="479">
        <f t="shared" si="22"/>
        <v>0</v>
      </c>
      <c r="N119" s="488"/>
      <c r="O119" s="479">
        <f t="shared" si="23"/>
        <v>0</v>
      </c>
      <c r="P119" s="479">
        <f t="shared" si="24"/>
        <v>0</v>
      </c>
    </row>
    <row r="120" spans="2:16" ht="12.5">
      <c r="B120" s="160" t="str">
        <f t="shared" si="27"/>
        <v/>
      </c>
      <c r="C120" s="473">
        <f>IF(D93="","-",+C119+1)</f>
        <v>2029</v>
      </c>
      <c r="D120" s="347">
        <f>IF(F119+SUM(E$99:E119)=D$92,F119,D$92-SUM(E$99:E119))</f>
        <v>825892</v>
      </c>
      <c r="E120" s="487">
        <f>IF(+J96&lt;F119,J96,D120)</f>
        <v>37085</v>
      </c>
      <c r="F120" s="486">
        <f t="shared" si="34"/>
        <v>788807</v>
      </c>
      <c r="G120" s="486">
        <f t="shared" si="35"/>
        <v>807349.5</v>
      </c>
      <c r="H120" s="489">
        <f t="shared" si="36"/>
        <v>120334.05739918385</v>
      </c>
      <c r="I120" s="543">
        <f t="shared" si="37"/>
        <v>120334.05739918385</v>
      </c>
      <c r="J120" s="479">
        <f t="shared" si="21"/>
        <v>0</v>
      </c>
      <c r="K120" s="479"/>
      <c r="L120" s="488"/>
      <c r="M120" s="479">
        <f t="shared" si="22"/>
        <v>0</v>
      </c>
      <c r="N120" s="488"/>
      <c r="O120" s="479">
        <f t="shared" si="23"/>
        <v>0</v>
      </c>
      <c r="P120" s="479">
        <f t="shared" si="24"/>
        <v>0</v>
      </c>
    </row>
    <row r="121" spans="2:16" ht="12.5">
      <c r="B121" s="160" t="str">
        <f t="shared" si="27"/>
        <v/>
      </c>
      <c r="C121" s="473">
        <f>IF(D93="","-",+C120+1)</f>
        <v>2030</v>
      </c>
      <c r="D121" s="347">
        <f>IF(F120+SUM(E$99:E120)=D$92,F120,D$92-SUM(E$99:E120))</f>
        <v>788807</v>
      </c>
      <c r="E121" s="487">
        <f>IF(+J96&lt;F120,J96,D121)</f>
        <v>37085</v>
      </c>
      <c r="F121" s="486">
        <f t="shared" si="34"/>
        <v>751722</v>
      </c>
      <c r="G121" s="486">
        <f t="shared" si="35"/>
        <v>770264.5</v>
      </c>
      <c r="H121" s="489">
        <f t="shared" si="36"/>
        <v>116510.07374198367</v>
      </c>
      <c r="I121" s="543">
        <f t="shared" si="37"/>
        <v>116510.07374198367</v>
      </c>
      <c r="J121" s="479">
        <f t="shared" si="21"/>
        <v>0</v>
      </c>
      <c r="K121" s="479"/>
      <c r="L121" s="488"/>
      <c r="M121" s="479">
        <f t="shared" si="22"/>
        <v>0</v>
      </c>
      <c r="N121" s="488"/>
      <c r="O121" s="479">
        <f t="shared" si="23"/>
        <v>0</v>
      </c>
      <c r="P121" s="479">
        <f t="shared" si="24"/>
        <v>0</v>
      </c>
    </row>
    <row r="122" spans="2:16" ht="12.5">
      <c r="B122" s="160" t="str">
        <f t="shared" si="27"/>
        <v/>
      </c>
      <c r="C122" s="473">
        <f>IF(D93="","-",+C121+1)</f>
        <v>2031</v>
      </c>
      <c r="D122" s="347">
        <f>IF(F121+SUM(E$99:E121)=D$92,F121,D$92-SUM(E$99:E121))</f>
        <v>751722</v>
      </c>
      <c r="E122" s="487">
        <f>IF(+J96&lt;F121,J96,D122)</f>
        <v>37085</v>
      </c>
      <c r="F122" s="486">
        <f t="shared" si="34"/>
        <v>714637</v>
      </c>
      <c r="G122" s="486">
        <f t="shared" si="35"/>
        <v>733179.5</v>
      </c>
      <c r="H122" s="489">
        <f t="shared" si="36"/>
        <v>112686.0900847835</v>
      </c>
      <c r="I122" s="543">
        <f t="shared" si="37"/>
        <v>112686.0900847835</v>
      </c>
      <c r="J122" s="479">
        <f t="shared" si="21"/>
        <v>0</v>
      </c>
      <c r="K122" s="479"/>
      <c r="L122" s="488"/>
      <c r="M122" s="479">
        <f t="shared" si="22"/>
        <v>0</v>
      </c>
      <c r="N122" s="488"/>
      <c r="O122" s="479">
        <f t="shared" si="23"/>
        <v>0</v>
      </c>
      <c r="P122" s="479">
        <f t="shared" si="24"/>
        <v>0</v>
      </c>
    </row>
    <row r="123" spans="2:16" ht="12.5">
      <c r="B123" s="160" t="str">
        <f t="shared" si="27"/>
        <v/>
      </c>
      <c r="C123" s="473">
        <f>IF(D93="","-",+C122+1)</f>
        <v>2032</v>
      </c>
      <c r="D123" s="347">
        <f>IF(F122+SUM(E$99:E122)=D$92,F122,D$92-SUM(E$99:E122))</f>
        <v>714637</v>
      </c>
      <c r="E123" s="487">
        <f>IF(+J96&lt;F122,J96,D123)</f>
        <v>37085</v>
      </c>
      <c r="F123" s="486">
        <f t="shared" si="34"/>
        <v>677552</v>
      </c>
      <c r="G123" s="486">
        <f t="shared" si="35"/>
        <v>696094.5</v>
      </c>
      <c r="H123" s="489">
        <f t="shared" si="36"/>
        <v>108862.10642758332</v>
      </c>
      <c r="I123" s="543">
        <f t="shared" si="37"/>
        <v>108862.10642758332</v>
      </c>
      <c r="J123" s="479">
        <f t="shared" si="21"/>
        <v>0</v>
      </c>
      <c r="K123" s="479"/>
      <c r="L123" s="488"/>
      <c r="M123" s="479">
        <f t="shared" si="22"/>
        <v>0</v>
      </c>
      <c r="N123" s="488"/>
      <c r="O123" s="479">
        <f t="shared" si="23"/>
        <v>0</v>
      </c>
      <c r="P123" s="479">
        <f t="shared" si="24"/>
        <v>0</v>
      </c>
    </row>
    <row r="124" spans="2:16" ht="12.5">
      <c r="B124" s="160" t="str">
        <f t="shared" si="27"/>
        <v/>
      </c>
      <c r="C124" s="473">
        <f>IF(D93="","-",+C123+1)</f>
        <v>2033</v>
      </c>
      <c r="D124" s="347">
        <f>IF(F123+SUM(E$99:E123)=D$92,F123,D$92-SUM(E$99:E123))</f>
        <v>677552</v>
      </c>
      <c r="E124" s="487">
        <f>IF(+J96&lt;F123,J96,D124)</f>
        <v>37085</v>
      </c>
      <c r="F124" s="486">
        <f t="shared" si="34"/>
        <v>640467</v>
      </c>
      <c r="G124" s="486">
        <f t="shared" si="35"/>
        <v>659009.5</v>
      </c>
      <c r="H124" s="489">
        <f t="shared" si="36"/>
        <v>105038.12277038315</v>
      </c>
      <c r="I124" s="543">
        <f t="shared" si="37"/>
        <v>105038.12277038315</v>
      </c>
      <c r="J124" s="479">
        <f t="shared" si="21"/>
        <v>0</v>
      </c>
      <c r="K124" s="479"/>
      <c r="L124" s="488"/>
      <c r="M124" s="479">
        <f t="shared" si="22"/>
        <v>0</v>
      </c>
      <c r="N124" s="488"/>
      <c r="O124" s="479">
        <f t="shared" si="23"/>
        <v>0</v>
      </c>
      <c r="P124" s="479">
        <f t="shared" si="24"/>
        <v>0</v>
      </c>
    </row>
    <row r="125" spans="2:16" ht="12.5">
      <c r="B125" s="160" t="str">
        <f t="shared" si="27"/>
        <v/>
      </c>
      <c r="C125" s="473">
        <f>IF(D93="","-",+C124+1)</f>
        <v>2034</v>
      </c>
      <c r="D125" s="347">
        <f>IF(F124+SUM(E$99:E124)=D$92,F124,D$92-SUM(E$99:E124))</f>
        <v>640467</v>
      </c>
      <c r="E125" s="487">
        <f>IF(+J96&lt;F124,J96,D125)</f>
        <v>37085</v>
      </c>
      <c r="F125" s="486">
        <f t="shared" si="34"/>
        <v>603382</v>
      </c>
      <c r="G125" s="486">
        <f t="shared" si="35"/>
        <v>621924.5</v>
      </c>
      <c r="H125" s="489">
        <f t="shared" si="36"/>
        <v>101214.13911318297</v>
      </c>
      <c r="I125" s="543">
        <f t="shared" si="37"/>
        <v>101214.13911318297</v>
      </c>
      <c r="J125" s="479">
        <f t="shared" si="21"/>
        <v>0</v>
      </c>
      <c r="K125" s="479"/>
      <c r="L125" s="488"/>
      <c r="M125" s="479">
        <f t="shared" si="22"/>
        <v>0</v>
      </c>
      <c r="N125" s="488"/>
      <c r="O125" s="479">
        <f t="shared" si="23"/>
        <v>0</v>
      </c>
      <c r="P125" s="479">
        <f t="shared" si="24"/>
        <v>0</v>
      </c>
    </row>
    <row r="126" spans="2:16" ht="12.5">
      <c r="B126" s="160" t="str">
        <f t="shared" si="27"/>
        <v/>
      </c>
      <c r="C126" s="473">
        <f>IF(D93="","-",+C125+1)</f>
        <v>2035</v>
      </c>
      <c r="D126" s="347">
        <f>IF(F125+SUM(E$99:E125)=D$92,F125,D$92-SUM(E$99:E125))</f>
        <v>603382</v>
      </c>
      <c r="E126" s="487">
        <f>IF(+J96&lt;F125,J96,D126)</f>
        <v>37085</v>
      </c>
      <c r="F126" s="486">
        <f t="shared" si="34"/>
        <v>566297</v>
      </c>
      <c r="G126" s="486">
        <f t="shared" si="35"/>
        <v>584839.5</v>
      </c>
      <c r="H126" s="489">
        <f t="shared" si="36"/>
        <v>97390.155455982793</v>
      </c>
      <c r="I126" s="543">
        <f t="shared" si="37"/>
        <v>97390.155455982793</v>
      </c>
      <c r="J126" s="479">
        <f t="shared" si="21"/>
        <v>0</v>
      </c>
      <c r="K126" s="479"/>
      <c r="L126" s="488"/>
      <c r="M126" s="479">
        <f t="shared" si="22"/>
        <v>0</v>
      </c>
      <c r="N126" s="488"/>
      <c r="O126" s="479">
        <f t="shared" si="23"/>
        <v>0</v>
      </c>
      <c r="P126" s="479">
        <f t="shared" si="24"/>
        <v>0</v>
      </c>
    </row>
    <row r="127" spans="2:16" ht="12.5">
      <c r="B127" s="160" t="str">
        <f t="shared" si="27"/>
        <v/>
      </c>
      <c r="C127" s="473">
        <f>IF(D93="","-",+C126+1)</f>
        <v>2036</v>
      </c>
      <c r="D127" s="347">
        <f>IF(F126+SUM(E$99:E126)=D$92,F126,D$92-SUM(E$99:E126))</f>
        <v>566297</v>
      </c>
      <c r="E127" s="487">
        <f>IF(+J96&lt;F126,J96,D127)</f>
        <v>37085</v>
      </c>
      <c r="F127" s="486">
        <f t="shared" si="34"/>
        <v>529212</v>
      </c>
      <c r="G127" s="486">
        <f t="shared" si="35"/>
        <v>547754.5</v>
      </c>
      <c r="H127" s="489">
        <f t="shared" si="36"/>
        <v>93566.171798782627</v>
      </c>
      <c r="I127" s="543">
        <f t="shared" si="37"/>
        <v>93566.171798782627</v>
      </c>
      <c r="J127" s="479">
        <f t="shared" si="21"/>
        <v>0</v>
      </c>
      <c r="K127" s="479"/>
      <c r="L127" s="488"/>
      <c r="M127" s="479">
        <f t="shared" si="22"/>
        <v>0</v>
      </c>
      <c r="N127" s="488"/>
      <c r="O127" s="479">
        <f t="shared" si="23"/>
        <v>0</v>
      </c>
      <c r="P127" s="479">
        <f t="shared" si="24"/>
        <v>0</v>
      </c>
    </row>
    <row r="128" spans="2:16" ht="12.5">
      <c r="B128" s="160" t="str">
        <f t="shared" si="27"/>
        <v/>
      </c>
      <c r="C128" s="473">
        <f>IF(D93="","-",+C127+1)</f>
        <v>2037</v>
      </c>
      <c r="D128" s="347">
        <f>IF(F127+SUM(E$99:E127)=D$92,F127,D$92-SUM(E$99:E127))</f>
        <v>529212</v>
      </c>
      <c r="E128" s="487">
        <f>IF(+J96&lt;F127,J96,D128)</f>
        <v>37085</v>
      </c>
      <c r="F128" s="486">
        <f t="shared" si="34"/>
        <v>492127</v>
      </c>
      <c r="G128" s="486">
        <f t="shared" si="35"/>
        <v>510669.5</v>
      </c>
      <c r="H128" s="489">
        <f t="shared" si="36"/>
        <v>89742.188141582446</v>
      </c>
      <c r="I128" s="543">
        <f t="shared" si="37"/>
        <v>89742.188141582446</v>
      </c>
      <c r="J128" s="479">
        <f t="shared" si="21"/>
        <v>0</v>
      </c>
      <c r="K128" s="479"/>
      <c r="L128" s="488"/>
      <c r="M128" s="479">
        <f t="shared" si="22"/>
        <v>0</v>
      </c>
      <c r="N128" s="488"/>
      <c r="O128" s="479">
        <f t="shared" si="23"/>
        <v>0</v>
      </c>
      <c r="P128" s="479">
        <f t="shared" si="24"/>
        <v>0</v>
      </c>
    </row>
    <row r="129" spans="2:16" ht="12.5">
      <c r="B129" s="160" t="str">
        <f t="shared" si="27"/>
        <v/>
      </c>
      <c r="C129" s="473">
        <f>IF(D93="","-",+C128+1)</f>
        <v>2038</v>
      </c>
      <c r="D129" s="347">
        <f>IF(F128+SUM(E$99:E128)=D$92,F128,D$92-SUM(E$99:E128))</f>
        <v>492127</v>
      </c>
      <c r="E129" s="487">
        <f>IF(+J96&lt;F128,J96,D129)</f>
        <v>37085</v>
      </c>
      <c r="F129" s="486">
        <f t="shared" si="34"/>
        <v>455042</v>
      </c>
      <c r="G129" s="486">
        <f t="shared" si="35"/>
        <v>473584.5</v>
      </c>
      <c r="H129" s="489">
        <f t="shared" si="36"/>
        <v>85918.204484382266</v>
      </c>
      <c r="I129" s="543">
        <f t="shared" si="37"/>
        <v>85918.204484382266</v>
      </c>
      <c r="J129" s="479">
        <f t="shared" si="21"/>
        <v>0</v>
      </c>
      <c r="K129" s="479"/>
      <c r="L129" s="488"/>
      <c r="M129" s="479">
        <f t="shared" si="22"/>
        <v>0</v>
      </c>
      <c r="N129" s="488"/>
      <c r="O129" s="479">
        <f t="shared" si="23"/>
        <v>0</v>
      </c>
      <c r="P129" s="479">
        <f t="shared" si="24"/>
        <v>0</v>
      </c>
    </row>
    <row r="130" spans="2:16" ht="12.5">
      <c r="B130" s="160" t="str">
        <f t="shared" si="27"/>
        <v/>
      </c>
      <c r="C130" s="473">
        <f>IF(D93="","-",+C129+1)</f>
        <v>2039</v>
      </c>
      <c r="D130" s="347">
        <f>IF(F129+SUM(E$99:E129)=D$92,F129,D$92-SUM(E$99:E129))</f>
        <v>455042</v>
      </c>
      <c r="E130" s="487">
        <f>IF(+J96&lt;F129,J96,D130)</f>
        <v>37085</v>
      </c>
      <c r="F130" s="486">
        <f t="shared" si="34"/>
        <v>417957</v>
      </c>
      <c r="G130" s="486">
        <f t="shared" si="35"/>
        <v>436499.5</v>
      </c>
      <c r="H130" s="489">
        <f t="shared" si="36"/>
        <v>82094.220827182085</v>
      </c>
      <c r="I130" s="543">
        <f t="shared" si="37"/>
        <v>82094.220827182085</v>
      </c>
      <c r="J130" s="479">
        <f t="shared" si="21"/>
        <v>0</v>
      </c>
      <c r="K130" s="479"/>
      <c r="L130" s="488"/>
      <c r="M130" s="479">
        <f t="shared" si="22"/>
        <v>0</v>
      </c>
      <c r="N130" s="488"/>
      <c r="O130" s="479">
        <f t="shared" si="23"/>
        <v>0</v>
      </c>
      <c r="P130" s="479">
        <f t="shared" si="24"/>
        <v>0</v>
      </c>
    </row>
    <row r="131" spans="2:16" ht="12.5">
      <c r="B131" s="160" t="str">
        <f t="shared" si="27"/>
        <v/>
      </c>
      <c r="C131" s="473">
        <f>IF(D93="","-",+C130+1)</f>
        <v>2040</v>
      </c>
      <c r="D131" s="347">
        <f>IF(F130+SUM(E$99:E130)=D$92,F130,D$92-SUM(E$99:E130))</f>
        <v>417957</v>
      </c>
      <c r="E131" s="487">
        <f>IF(+J96&lt;F130,J96,D131)</f>
        <v>37085</v>
      </c>
      <c r="F131" s="486">
        <f t="shared" ref="F131:F154" si="38">+D131-E131</f>
        <v>380872</v>
      </c>
      <c r="G131" s="486">
        <f t="shared" ref="G131:G154" si="39">+(F131+D131)/2</f>
        <v>399414.5</v>
      </c>
      <c r="H131" s="489">
        <f t="shared" si="36"/>
        <v>78270.23716998192</v>
      </c>
      <c r="I131" s="543">
        <f t="shared" si="37"/>
        <v>78270.23716998192</v>
      </c>
      <c r="J131" s="479">
        <f t="shared" ref="J131:J154" si="40">+I131-H131</f>
        <v>0</v>
      </c>
      <c r="K131" s="479"/>
      <c r="L131" s="488"/>
      <c r="M131" s="479">
        <f t="shared" ref="M131:M154" si="41">IF(L131&lt;&gt;0,+H131-L131,0)</f>
        <v>0</v>
      </c>
      <c r="N131" s="488"/>
      <c r="O131" s="479">
        <f t="shared" ref="O131:O154" si="42">IF(N131&lt;&gt;0,+I131-N131,0)</f>
        <v>0</v>
      </c>
      <c r="P131" s="479">
        <f t="shared" ref="P131:P154" si="43">+O131-M131</f>
        <v>0</v>
      </c>
    </row>
    <row r="132" spans="2:16" ht="12.5">
      <c r="B132" s="160" t="str">
        <f t="shared" si="27"/>
        <v/>
      </c>
      <c r="C132" s="473">
        <f>IF(D93="","-",+C131+1)</f>
        <v>2041</v>
      </c>
      <c r="D132" s="347">
        <f>IF(F131+SUM(E$99:E131)=D$92,F131,D$92-SUM(E$99:E131))</f>
        <v>380872</v>
      </c>
      <c r="E132" s="487">
        <f>IF(+J96&lt;F131,J96,D132)</f>
        <v>37085</v>
      </c>
      <c r="F132" s="486">
        <f t="shared" si="38"/>
        <v>343787</v>
      </c>
      <c r="G132" s="486">
        <f t="shared" si="39"/>
        <v>362329.5</v>
      </c>
      <c r="H132" s="489">
        <f t="shared" si="36"/>
        <v>74446.253512781754</v>
      </c>
      <c r="I132" s="543">
        <f t="shared" si="37"/>
        <v>74446.253512781754</v>
      </c>
      <c r="J132" s="479">
        <f t="shared" si="40"/>
        <v>0</v>
      </c>
      <c r="K132" s="479"/>
      <c r="L132" s="488"/>
      <c r="M132" s="479">
        <f t="shared" si="41"/>
        <v>0</v>
      </c>
      <c r="N132" s="488"/>
      <c r="O132" s="479">
        <f t="shared" si="42"/>
        <v>0</v>
      </c>
      <c r="P132" s="479">
        <f t="shared" si="43"/>
        <v>0</v>
      </c>
    </row>
    <row r="133" spans="2:16" ht="12.5">
      <c r="B133" s="160" t="str">
        <f t="shared" si="27"/>
        <v/>
      </c>
      <c r="C133" s="473">
        <f>IF(D93="","-",+C132+1)</f>
        <v>2042</v>
      </c>
      <c r="D133" s="347">
        <f>IF(F132+SUM(E$99:E132)=D$92,F132,D$92-SUM(E$99:E132))</f>
        <v>343787</v>
      </c>
      <c r="E133" s="487">
        <f>IF(+J96&lt;F132,J96,D133)</f>
        <v>37085</v>
      </c>
      <c r="F133" s="486">
        <f t="shared" si="38"/>
        <v>306702</v>
      </c>
      <c r="G133" s="486">
        <f t="shared" si="39"/>
        <v>325244.5</v>
      </c>
      <c r="H133" s="489">
        <f t="shared" si="36"/>
        <v>70622.269855581573</v>
      </c>
      <c r="I133" s="543">
        <f t="shared" si="37"/>
        <v>70622.269855581573</v>
      </c>
      <c r="J133" s="479">
        <f t="shared" si="40"/>
        <v>0</v>
      </c>
      <c r="K133" s="479"/>
      <c r="L133" s="488"/>
      <c r="M133" s="479">
        <f t="shared" si="41"/>
        <v>0</v>
      </c>
      <c r="N133" s="488"/>
      <c r="O133" s="479">
        <f t="shared" si="42"/>
        <v>0</v>
      </c>
      <c r="P133" s="479">
        <f t="shared" si="43"/>
        <v>0</v>
      </c>
    </row>
    <row r="134" spans="2:16" ht="12.5">
      <c r="B134" s="160" t="str">
        <f t="shared" si="27"/>
        <v/>
      </c>
      <c r="C134" s="473">
        <f>IF(D93="","-",+C133+1)</f>
        <v>2043</v>
      </c>
      <c r="D134" s="347">
        <f>IF(F133+SUM(E$99:E133)=D$92,F133,D$92-SUM(E$99:E133))</f>
        <v>306702</v>
      </c>
      <c r="E134" s="487">
        <f>IF(+J96&lt;F133,J96,D134)</f>
        <v>37085</v>
      </c>
      <c r="F134" s="486">
        <f t="shared" si="38"/>
        <v>269617</v>
      </c>
      <c r="G134" s="486">
        <f t="shared" si="39"/>
        <v>288159.5</v>
      </c>
      <c r="H134" s="489">
        <f t="shared" si="36"/>
        <v>66798.286198381393</v>
      </c>
      <c r="I134" s="543">
        <f t="shared" si="37"/>
        <v>66798.286198381393</v>
      </c>
      <c r="J134" s="479">
        <f t="shared" si="40"/>
        <v>0</v>
      </c>
      <c r="K134" s="479"/>
      <c r="L134" s="488"/>
      <c r="M134" s="479">
        <f t="shared" si="41"/>
        <v>0</v>
      </c>
      <c r="N134" s="488"/>
      <c r="O134" s="479">
        <f t="shared" si="42"/>
        <v>0</v>
      </c>
      <c r="P134" s="479">
        <f t="shared" si="43"/>
        <v>0</v>
      </c>
    </row>
    <row r="135" spans="2:16" ht="12.5">
      <c r="B135" s="160" t="str">
        <f t="shared" si="27"/>
        <v/>
      </c>
      <c r="C135" s="473">
        <f>IF(D93="","-",+C134+1)</f>
        <v>2044</v>
      </c>
      <c r="D135" s="347">
        <f>IF(F134+SUM(E$99:E134)=D$92,F134,D$92-SUM(E$99:E134))</f>
        <v>269617</v>
      </c>
      <c r="E135" s="487">
        <f>IF(+J96&lt;F134,J96,D135)</f>
        <v>37085</v>
      </c>
      <c r="F135" s="486">
        <f t="shared" si="38"/>
        <v>232532</v>
      </c>
      <c r="G135" s="486">
        <f t="shared" si="39"/>
        <v>251074.5</v>
      </c>
      <c r="H135" s="489">
        <f t="shared" si="36"/>
        <v>62974.302541181212</v>
      </c>
      <c r="I135" s="543">
        <f t="shared" si="37"/>
        <v>62974.302541181212</v>
      </c>
      <c r="J135" s="479">
        <f t="shared" si="40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3"/>
        <v>0</v>
      </c>
    </row>
    <row r="136" spans="2:16" ht="12.5">
      <c r="B136" s="160" t="str">
        <f t="shared" si="27"/>
        <v/>
      </c>
      <c r="C136" s="473">
        <f>IF(D93="","-",+C135+1)</f>
        <v>2045</v>
      </c>
      <c r="D136" s="347">
        <f>IF(F135+SUM(E$99:E135)=D$92,F135,D$92-SUM(E$99:E135))</f>
        <v>232532</v>
      </c>
      <c r="E136" s="487">
        <f>IF(+J96&lt;F135,J96,D136)</f>
        <v>37085</v>
      </c>
      <c r="F136" s="486">
        <f t="shared" si="38"/>
        <v>195447</v>
      </c>
      <c r="G136" s="486">
        <f t="shared" si="39"/>
        <v>213989.5</v>
      </c>
      <c r="H136" s="489">
        <f t="shared" si="36"/>
        <v>59150.318883981046</v>
      </c>
      <c r="I136" s="543">
        <f t="shared" si="37"/>
        <v>59150.318883981046</v>
      </c>
      <c r="J136" s="479">
        <f t="shared" si="40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3"/>
        <v>0</v>
      </c>
    </row>
    <row r="137" spans="2:16" ht="12.5">
      <c r="B137" s="160" t="str">
        <f t="shared" si="27"/>
        <v/>
      </c>
      <c r="C137" s="473">
        <f>IF(D93="","-",+C136+1)</f>
        <v>2046</v>
      </c>
      <c r="D137" s="347">
        <f>IF(F136+SUM(E$99:E136)=D$92,F136,D$92-SUM(E$99:E136))</f>
        <v>195447</v>
      </c>
      <c r="E137" s="487">
        <f>IF(+J96&lt;F136,J96,D137)</f>
        <v>37085</v>
      </c>
      <c r="F137" s="486">
        <f t="shared" si="38"/>
        <v>158362</v>
      </c>
      <c r="G137" s="486">
        <f t="shared" si="39"/>
        <v>176904.5</v>
      </c>
      <c r="H137" s="489">
        <f t="shared" si="36"/>
        <v>55326.335226780866</v>
      </c>
      <c r="I137" s="543">
        <f t="shared" si="37"/>
        <v>55326.335226780866</v>
      </c>
      <c r="J137" s="479">
        <f t="shared" si="40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3"/>
        <v>0</v>
      </c>
    </row>
    <row r="138" spans="2:16" ht="12.5">
      <c r="B138" s="160" t="str">
        <f t="shared" si="27"/>
        <v/>
      </c>
      <c r="C138" s="473">
        <f>IF(D93="","-",+C137+1)</f>
        <v>2047</v>
      </c>
      <c r="D138" s="347">
        <f>IF(F137+SUM(E$99:E137)=D$92,F137,D$92-SUM(E$99:E137))</f>
        <v>158362</v>
      </c>
      <c r="E138" s="487">
        <f>IF(+J96&lt;F137,J96,D138)</f>
        <v>37085</v>
      </c>
      <c r="F138" s="486">
        <f t="shared" si="38"/>
        <v>121277</v>
      </c>
      <c r="G138" s="486">
        <f t="shared" si="39"/>
        <v>139819.5</v>
      </c>
      <c r="H138" s="489">
        <f t="shared" si="36"/>
        <v>51502.351569580693</v>
      </c>
      <c r="I138" s="543">
        <f t="shared" si="37"/>
        <v>51502.351569580693</v>
      </c>
      <c r="J138" s="479">
        <f t="shared" si="40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3"/>
        <v>0</v>
      </c>
    </row>
    <row r="139" spans="2:16" ht="12.5">
      <c r="B139" s="160" t="str">
        <f t="shared" si="27"/>
        <v/>
      </c>
      <c r="C139" s="473">
        <f>IF(D93="","-",+C138+1)</f>
        <v>2048</v>
      </c>
      <c r="D139" s="347">
        <f>IF(F138+SUM(E$99:E138)=D$92,F138,D$92-SUM(E$99:E138))</f>
        <v>121277</v>
      </c>
      <c r="E139" s="487">
        <f>IF(+J96&lt;F138,J96,D139)</f>
        <v>37085</v>
      </c>
      <c r="F139" s="486">
        <f t="shared" si="38"/>
        <v>84192</v>
      </c>
      <c r="G139" s="486">
        <f t="shared" si="39"/>
        <v>102734.5</v>
      </c>
      <c r="H139" s="489">
        <f t="shared" si="36"/>
        <v>47678.36791238052</v>
      </c>
      <c r="I139" s="543">
        <f t="shared" si="37"/>
        <v>47678.36791238052</v>
      </c>
      <c r="J139" s="479">
        <f t="shared" si="40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3"/>
        <v>0</v>
      </c>
    </row>
    <row r="140" spans="2:16" ht="12.5">
      <c r="B140" s="160" t="str">
        <f t="shared" si="27"/>
        <v/>
      </c>
      <c r="C140" s="473">
        <f>IF(D93="","-",+C139+1)</f>
        <v>2049</v>
      </c>
      <c r="D140" s="347">
        <f>IF(F139+SUM(E$99:E139)=D$92,F139,D$92-SUM(E$99:E139))</f>
        <v>84192</v>
      </c>
      <c r="E140" s="487">
        <f>IF(+J96&lt;F139,J96,D140)</f>
        <v>37085</v>
      </c>
      <c r="F140" s="486">
        <f t="shared" si="38"/>
        <v>47107</v>
      </c>
      <c r="G140" s="486">
        <f t="shared" si="39"/>
        <v>65649.5</v>
      </c>
      <c r="H140" s="489">
        <f t="shared" si="36"/>
        <v>43854.384255180339</v>
      </c>
      <c r="I140" s="543">
        <f t="shared" si="37"/>
        <v>43854.384255180339</v>
      </c>
      <c r="J140" s="479">
        <f t="shared" si="40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3"/>
        <v>0</v>
      </c>
    </row>
    <row r="141" spans="2:16" ht="12.5">
      <c r="B141" s="160" t="str">
        <f t="shared" si="27"/>
        <v/>
      </c>
      <c r="C141" s="473">
        <f>IF(D93="","-",+C140+1)</f>
        <v>2050</v>
      </c>
      <c r="D141" s="347">
        <f>IF(F140+SUM(E$99:E140)=D$92,F140,D$92-SUM(E$99:E140))</f>
        <v>47107</v>
      </c>
      <c r="E141" s="487">
        <f>IF(+J96&lt;F140,J96,D141)</f>
        <v>37085</v>
      </c>
      <c r="F141" s="486">
        <f t="shared" si="38"/>
        <v>10022</v>
      </c>
      <c r="G141" s="486">
        <f t="shared" si="39"/>
        <v>28564.5</v>
      </c>
      <c r="H141" s="489">
        <f t="shared" si="36"/>
        <v>40030.400597980166</v>
      </c>
      <c r="I141" s="543">
        <f t="shared" si="37"/>
        <v>40030.400597980166</v>
      </c>
      <c r="J141" s="479">
        <f t="shared" si="40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3"/>
        <v>0</v>
      </c>
    </row>
    <row r="142" spans="2:16" ht="12.5">
      <c r="B142" s="160" t="str">
        <f t="shared" si="27"/>
        <v/>
      </c>
      <c r="C142" s="473">
        <f>IF(D93="","-",+C141+1)</f>
        <v>2051</v>
      </c>
      <c r="D142" s="347">
        <f>IF(F141+SUM(E$99:E141)=D$92,F141,D$92-SUM(E$99:E141))</f>
        <v>10022</v>
      </c>
      <c r="E142" s="487">
        <f>IF(+J96&lt;F141,J96,D142)</f>
        <v>10022</v>
      </c>
      <c r="F142" s="486">
        <f t="shared" si="38"/>
        <v>0</v>
      </c>
      <c r="G142" s="486">
        <f t="shared" si="39"/>
        <v>5011</v>
      </c>
      <c r="H142" s="489">
        <f t="shared" si="36"/>
        <v>10538.704384690038</v>
      </c>
      <c r="I142" s="543">
        <f t="shared" si="37"/>
        <v>10538.704384690038</v>
      </c>
      <c r="J142" s="479">
        <f t="shared" si="40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3"/>
        <v>0</v>
      </c>
    </row>
    <row r="143" spans="2:16" ht="12.5">
      <c r="B143" s="160" t="str">
        <f t="shared" si="27"/>
        <v/>
      </c>
      <c r="C143" s="473">
        <f>IF(D93="","-",+C142+1)</f>
        <v>2052</v>
      </c>
      <c r="D143" s="347">
        <f>IF(F142+SUM(E$99:E142)=D$92,F142,D$92-SUM(E$99:E142))</f>
        <v>0</v>
      </c>
      <c r="E143" s="487">
        <f>IF(+J96&lt;F142,J96,D143)</f>
        <v>0</v>
      </c>
      <c r="F143" s="486">
        <f t="shared" si="38"/>
        <v>0</v>
      </c>
      <c r="G143" s="486">
        <f t="shared" si="39"/>
        <v>0</v>
      </c>
      <c r="H143" s="489">
        <f t="shared" si="36"/>
        <v>0</v>
      </c>
      <c r="I143" s="543">
        <f t="shared" si="37"/>
        <v>0</v>
      </c>
      <c r="J143" s="479">
        <f t="shared" si="40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3"/>
        <v>0</v>
      </c>
    </row>
    <row r="144" spans="2:16" ht="12.5">
      <c r="B144" s="160" t="str">
        <f t="shared" si="27"/>
        <v/>
      </c>
      <c r="C144" s="473">
        <f>IF(D93="","-",+C143+1)</f>
        <v>2053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8"/>
        <v>0</v>
      </c>
      <c r="G144" s="486">
        <f t="shared" si="39"/>
        <v>0</v>
      </c>
      <c r="H144" s="489">
        <f t="shared" si="36"/>
        <v>0</v>
      </c>
      <c r="I144" s="543">
        <f t="shared" si="37"/>
        <v>0</v>
      </c>
      <c r="J144" s="479">
        <f t="shared" si="40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3"/>
        <v>0</v>
      </c>
    </row>
    <row r="145" spans="2:16" ht="12.5">
      <c r="B145" s="160" t="str">
        <f t="shared" si="27"/>
        <v/>
      </c>
      <c r="C145" s="473">
        <f>IF(D93="","-",+C144+1)</f>
        <v>2054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8"/>
        <v>0</v>
      </c>
      <c r="G145" s="486">
        <f t="shared" si="39"/>
        <v>0</v>
      </c>
      <c r="H145" s="489">
        <f t="shared" si="36"/>
        <v>0</v>
      </c>
      <c r="I145" s="543">
        <f t="shared" si="37"/>
        <v>0</v>
      </c>
      <c r="J145" s="479">
        <f t="shared" si="40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3"/>
        <v>0</v>
      </c>
    </row>
    <row r="146" spans="2:16" ht="12.5">
      <c r="B146" s="160" t="str">
        <f t="shared" si="27"/>
        <v/>
      </c>
      <c r="C146" s="473">
        <f>IF(D93="","-",+C145+1)</f>
        <v>2055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8"/>
        <v>0</v>
      </c>
      <c r="G146" s="486">
        <f t="shared" si="39"/>
        <v>0</v>
      </c>
      <c r="H146" s="489">
        <f t="shared" si="36"/>
        <v>0</v>
      </c>
      <c r="I146" s="543">
        <f t="shared" si="37"/>
        <v>0</v>
      </c>
      <c r="J146" s="479">
        <f t="shared" si="40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3"/>
        <v>0</v>
      </c>
    </row>
    <row r="147" spans="2:16" ht="12.5">
      <c r="B147" s="160" t="str">
        <f t="shared" si="27"/>
        <v/>
      </c>
      <c r="C147" s="473">
        <f>IF(D93="","-",+C146+1)</f>
        <v>2056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8"/>
        <v>0</v>
      </c>
      <c r="G147" s="486">
        <f t="shared" si="39"/>
        <v>0</v>
      </c>
      <c r="H147" s="489">
        <f t="shared" si="36"/>
        <v>0</v>
      </c>
      <c r="I147" s="543">
        <f t="shared" si="37"/>
        <v>0</v>
      </c>
      <c r="J147" s="479">
        <f t="shared" si="40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3"/>
        <v>0</v>
      </c>
    </row>
    <row r="148" spans="2:16" ht="12.5">
      <c r="B148" s="160" t="str">
        <f t="shared" si="27"/>
        <v/>
      </c>
      <c r="C148" s="473">
        <f>IF(D93="","-",+C147+1)</f>
        <v>2057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8"/>
        <v>0</v>
      </c>
      <c r="G148" s="486">
        <f t="shared" si="39"/>
        <v>0</v>
      </c>
      <c r="H148" s="489">
        <f t="shared" si="36"/>
        <v>0</v>
      </c>
      <c r="I148" s="543">
        <f t="shared" si="37"/>
        <v>0</v>
      </c>
      <c r="J148" s="479">
        <f t="shared" si="40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3"/>
        <v>0</v>
      </c>
    </row>
    <row r="149" spans="2:16" ht="12.5">
      <c r="B149" s="160" t="str">
        <f t="shared" si="27"/>
        <v/>
      </c>
      <c r="C149" s="473">
        <f>IF(D93="","-",+C148+1)</f>
        <v>2058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8"/>
        <v>0</v>
      </c>
      <c r="G149" s="486">
        <f t="shared" si="39"/>
        <v>0</v>
      </c>
      <c r="H149" s="489">
        <f t="shared" si="36"/>
        <v>0</v>
      </c>
      <c r="I149" s="543">
        <f t="shared" si="37"/>
        <v>0</v>
      </c>
      <c r="J149" s="479">
        <f t="shared" si="40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3"/>
        <v>0</v>
      </c>
    </row>
    <row r="150" spans="2:16" ht="12.5">
      <c r="B150" s="160" t="str">
        <f t="shared" si="27"/>
        <v/>
      </c>
      <c r="C150" s="473">
        <f>IF(D93="","-",+C149+1)</f>
        <v>2059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8"/>
        <v>0</v>
      </c>
      <c r="G150" s="486">
        <f t="shared" si="39"/>
        <v>0</v>
      </c>
      <c r="H150" s="489">
        <f t="shared" si="36"/>
        <v>0</v>
      </c>
      <c r="I150" s="543">
        <f t="shared" si="37"/>
        <v>0</v>
      </c>
      <c r="J150" s="479">
        <f t="shared" si="40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3"/>
        <v>0</v>
      </c>
    </row>
    <row r="151" spans="2:16" ht="12.5">
      <c r="B151" s="160" t="str">
        <f t="shared" si="27"/>
        <v/>
      </c>
      <c r="C151" s="473">
        <f>IF(D93="","-",+C150+1)</f>
        <v>2060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8"/>
        <v>0</v>
      </c>
      <c r="G151" s="486">
        <f t="shared" si="39"/>
        <v>0</v>
      </c>
      <c r="H151" s="489">
        <f t="shared" si="36"/>
        <v>0</v>
      </c>
      <c r="I151" s="543">
        <f t="shared" si="37"/>
        <v>0</v>
      </c>
      <c r="J151" s="479">
        <f t="shared" si="40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3"/>
        <v>0</v>
      </c>
    </row>
    <row r="152" spans="2:16" ht="12.5">
      <c r="B152" s="160" t="str">
        <f t="shared" si="27"/>
        <v/>
      </c>
      <c r="C152" s="473">
        <f>IF(D93="","-",+C151+1)</f>
        <v>2061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8"/>
        <v>0</v>
      </c>
      <c r="G152" s="486">
        <f t="shared" si="39"/>
        <v>0</v>
      </c>
      <c r="H152" s="489">
        <f t="shared" si="36"/>
        <v>0</v>
      </c>
      <c r="I152" s="543">
        <f t="shared" si="37"/>
        <v>0</v>
      </c>
      <c r="J152" s="479">
        <f t="shared" si="40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3"/>
        <v>0</v>
      </c>
    </row>
    <row r="153" spans="2:16" ht="12.5">
      <c r="B153" s="160" t="str">
        <f t="shared" si="27"/>
        <v/>
      </c>
      <c r="C153" s="473">
        <f>IF(D93="","-",+C152+1)</f>
        <v>2062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8"/>
        <v>0</v>
      </c>
      <c r="G153" s="486">
        <f t="shared" si="39"/>
        <v>0</v>
      </c>
      <c r="H153" s="489">
        <f t="shared" si="36"/>
        <v>0</v>
      </c>
      <c r="I153" s="543">
        <f t="shared" si="37"/>
        <v>0</v>
      </c>
      <c r="J153" s="479">
        <f t="shared" si="40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3"/>
        <v>0</v>
      </c>
    </row>
    <row r="154" spans="2:16" ht="13" thickBot="1">
      <c r="B154" s="160" t="str">
        <f t="shared" si="27"/>
        <v/>
      </c>
      <c r="C154" s="490">
        <f>IF(D93="","-",+C153+1)</f>
        <v>2063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8"/>
        <v>0</v>
      </c>
      <c r="G154" s="491">
        <f t="shared" si="39"/>
        <v>0</v>
      </c>
      <c r="H154" s="493">
        <f t="shared" si="36"/>
        <v>0</v>
      </c>
      <c r="I154" s="546">
        <f t="shared" si="37"/>
        <v>0</v>
      </c>
      <c r="J154" s="496">
        <f t="shared" si="40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1520502</v>
      </c>
      <c r="F155" s="348"/>
      <c r="G155" s="348"/>
      <c r="H155" s="348">
        <f>SUM(H99:H154)</f>
        <v>5498386.1070474684</v>
      </c>
      <c r="I155" s="348">
        <f>SUM(I99:I154)</f>
        <v>5498386.1070474684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8D1033E3-8FF4-489F-A444-657E685C72A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2019-05-20T13:24:17Z</cp:lastPrinted>
  <dcterms:created xsi:type="dcterms:W3CDTF">2009-05-11T14:02:48Z</dcterms:created>
  <dcterms:modified xsi:type="dcterms:W3CDTF">2020-05-26T18:37:12Z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